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igboss\OneDrive - Agglomération de Cergy Pontoise\Documents\Mairie de Neuville\Affaires scolaires et culture\Tarification\"/>
    </mc:Choice>
  </mc:AlternateContent>
  <bookViews>
    <workbookView xWindow="0" yWindow="0" windowWidth="19200" windowHeight="6615"/>
  </bookViews>
  <sheets>
    <sheet name="Simulateur" sheetId="1" r:id="rId1"/>
    <sheet name="Tarif périscolaire" sheetId="2" r:id="rId2"/>
    <sheet name="Allocations Familiales" sheetId="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 i="1" l="1"/>
  <c r="W7" i="1"/>
  <c r="W8" i="1" s="1"/>
  <c r="W6" i="1"/>
  <c r="W5" i="1"/>
  <c r="X5" i="1" s="1"/>
  <c r="V7" i="1"/>
  <c r="V8" i="1" s="1"/>
  <c r="V9" i="1" s="1"/>
  <c r="V10" i="1" s="1"/>
  <c r="V11" i="1" s="1"/>
  <c r="V12" i="1" s="1"/>
  <c r="V13" i="1" s="1"/>
  <c r="V6" i="1"/>
  <c r="V5" i="1"/>
  <c r="W9" i="1" l="1"/>
  <c r="X8" i="1"/>
  <c r="X7" i="1"/>
  <c r="A15" i="2"/>
  <c r="A14" i="2"/>
  <c r="A13" i="2"/>
  <c r="A12" i="2"/>
  <c r="A11" i="2"/>
  <c r="A10" i="2"/>
  <c r="A9" i="2"/>
  <c r="A8" i="2"/>
  <c r="A7" i="2"/>
  <c r="A6" i="2"/>
  <c r="W10" i="1" l="1"/>
  <c r="X9" i="1"/>
  <c r="AM6" i="1"/>
  <c r="AM7" i="1" s="1"/>
  <c r="AM8" i="1" s="1"/>
  <c r="AM9" i="1" s="1"/>
  <c r="AM10" i="1" s="1"/>
  <c r="AM11" i="1" s="1"/>
  <c r="AM12" i="1" s="1"/>
  <c r="AM13" i="1" s="1"/>
  <c r="AL6" i="1"/>
  <c r="AL7" i="1" s="1"/>
  <c r="AL8" i="1" s="1"/>
  <c r="AL9" i="1" s="1"/>
  <c r="AL10" i="1" s="1"/>
  <c r="AL11" i="1" s="1"/>
  <c r="AL12" i="1" s="1"/>
  <c r="AL13" i="1" s="1"/>
  <c r="AQ6" i="1"/>
  <c r="AQ7" i="1" s="1"/>
  <c r="AQ8" i="1" s="1"/>
  <c r="AQ9" i="1" s="1"/>
  <c r="AQ10" i="1" s="1"/>
  <c r="AQ11" i="1" s="1"/>
  <c r="AQ12" i="1" s="1"/>
  <c r="AQ13" i="1" s="1"/>
  <c r="AR6" i="1"/>
  <c r="AR7" i="1" s="1"/>
  <c r="AR8" i="1" s="1"/>
  <c r="AR9" i="1" s="1"/>
  <c r="AR10" i="1" s="1"/>
  <c r="AR11" i="1" s="1"/>
  <c r="AR12" i="1" s="1"/>
  <c r="AR13" i="1" s="1"/>
  <c r="AS6" i="1"/>
  <c r="AS7" i="1" s="1"/>
  <c r="AS8" i="1" s="1"/>
  <c r="AS9" i="1" s="1"/>
  <c r="AS10" i="1" s="1"/>
  <c r="AS11" i="1" s="1"/>
  <c r="AS12" i="1" s="1"/>
  <c r="AS13" i="1" s="1"/>
  <c r="AN6" i="1"/>
  <c r="AN7" i="1" s="1"/>
  <c r="AN8" i="1" s="1"/>
  <c r="AN9" i="1" s="1"/>
  <c r="AN10" i="1" s="1"/>
  <c r="AN11" i="1" s="1"/>
  <c r="AN12" i="1" s="1"/>
  <c r="AN13" i="1" s="1"/>
  <c r="AC14" i="1"/>
  <c r="AD14" i="1"/>
  <c r="AB14" i="1"/>
  <c r="Z6" i="1"/>
  <c r="Z7" i="1" s="1"/>
  <c r="Z8" i="1" s="1"/>
  <c r="Z9" i="1" s="1"/>
  <c r="Z10" i="1" s="1"/>
  <c r="Z11" i="1" s="1"/>
  <c r="Z12" i="1" s="1"/>
  <c r="Z13" i="1" s="1"/>
  <c r="AA6" i="1"/>
  <c r="AA7" i="1" s="1"/>
  <c r="AA8" i="1" s="1"/>
  <c r="AA9" i="1" s="1"/>
  <c r="AA10" i="1" s="1"/>
  <c r="AA11" i="1" s="1"/>
  <c r="AA12" i="1" s="1"/>
  <c r="AA13" i="1" s="1"/>
  <c r="Z5" i="1"/>
  <c r="AA5" i="1"/>
  <c r="Y6" i="1"/>
  <c r="Y7" i="1" s="1"/>
  <c r="Y8" i="1" s="1"/>
  <c r="Y9" i="1" s="1"/>
  <c r="Y10" i="1" s="1"/>
  <c r="Y11" i="1" s="1"/>
  <c r="Y12" i="1" s="1"/>
  <c r="Y13" i="1" s="1"/>
  <c r="Y5" i="1"/>
  <c r="W11" i="1" l="1"/>
  <c r="X10" i="1"/>
  <c r="J13" i="1"/>
  <c r="J5" i="1"/>
  <c r="J6" i="1"/>
  <c r="J7" i="1"/>
  <c r="J8" i="1"/>
  <c r="J9" i="1"/>
  <c r="J10" i="1"/>
  <c r="J11" i="1"/>
  <c r="J12" i="1"/>
  <c r="J4" i="1"/>
  <c r="W12" i="1" l="1"/>
  <c r="X11" i="1"/>
  <c r="AP9" i="1"/>
  <c r="AP10" i="1"/>
  <c r="AP11" i="1"/>
  <c r="AP12" i="1"/>
  <c r="AP13" i="1"/>
  <c r="AO9" i="1"/>
  <c r="AO10" i="1"/>
  <c r="AO11" i="1"/>
  <c r="AO12" i="1"/>
  <c r="AO13" i="1"/>
  <c r="AU9" i="1"/>
  <c r="AU10" i="1"/>
  <c r="AU11" i="1"/>
  <c r="AU12" i="1"/>
  <c r="AU13" i="1"/>
  <c r="AT9" i="1"/>
  <c r="AT10" i="1"/>
  <c r="AT11" i="1"/>
  <c r="AT12" i="1"/>
  <c r="AT13" i="1"/>
  <c r="W13" i="1" l="1"/>
  <c r="X13" i="1" s="1"/>
  <c r="X12" i="1"/>
  <c r="AF9" i="1"/>
  <c r="AF10" i="1"/>
  <c r="AF11" i="1"/>
  <c r="AF12" i="1"/>
  <c r="AE9" i="1"/>
  <c r="AE10" i="1"/>
  <c r="AE11" i="1"/>
  <c r="AE12" i="1"/>
  <c r="AG6" i="1"/>
  <c r="AG7" i="1"/>
  <c r="AG8" i="1"/>
  <c r="AG9" i="1"/>
  <c r="AH9" i="1" s="1"/>
  <c r="AG10" i="1"/>
  <c r="AH10" i="1" s="1"/>
  <c r="AG11" i="1"/>
  <c r="AH11" i="1" s="1"/>
  <c r="AG12" i="1"/>
  <c r="AH12" i="1" s="1"/>
  <c r="AG13" i="1"/>
  <c r="AG5" i="1"/>
  <c r="H12" i="1"/>
  <c r="AT6" i="1" l="1"/>
  <c r="AO6" i="1"/>
  <c r="AU6" i="1"/>
  <c r="AP6" i="1"/>
  <c r="AU7" i="1"/>
  <c r="AP7" i="1"/>
  <c r="AU8" i="1"/>
  <c r="AP8" i="1"/>
  <c r="AO8" i="1"/>
  <c r="AT8" i="1"/>
  <c r="AT7" i="1"/>
  <c r="AO7" i="1"/>
  <c r="AF6" i="1"/>
  <c r="AF13" i="1"/>
  <c r="AH13" i="1"/>
  <c r="AE13" i="1"/>
  <c r="AE7" i="1"/>
  <c r="AF7" i="1"/>
  <c r="AE5" i="1"/>
  <c r="AH5" i="1"/>
  <c r="AI5" i="1" s="1"/>
  <c r="AF5" i="1"/>
  <c r="AE6" i="1"/>
  <c r="AH6" i="1"/>
  <c r="AI6" i="1" s="1"/>
  <c r="AI13" i="1"/>
  <c r="AI10" i="1"/>
  <c r="AJ13" i="1"/>
  <c r="AI12" i="1"/>
  <c r="AJ11" i="1"/>
  <c r="AI11" i="1"/>
  <c r="AI9" i="1"/>
  <c r="AE8" i="1"/>
  <c r="AJ10" i="1"/>
  <c r="AJ12" i="1"/>
  <c r="AJ9" i="1"/>
  <c r="AF8" i="1"/>
  <c r="AH8" i="1"/>
  <c r="AI8" i="1" s="1"/>
  <c r="AH7" i="1"/>
  <c r="AI7" i="1" s="1"/>
  <c r="AK9" i="1" l="1"/>
  <c r="AK12" i="1"/>
  <c r="AK13" i="1"/>
  <c r="AK11" i="1"/>
  <c r="AK10" i="1"/>
  <c r="AJ6" i="1"/>
  <c r="AK6" i="1" s="1"/>
  <c r="AU14" i="1"/>
  <c r="AP14" i="1"/>
  <c r="AT14" i="1"/>
  <c r="AO14" i="1"/>
  <c r="AJ7" i="1"/>
  <c r="AK7" i="1" s="1"/>
  <c r="AJ5" i="1"/>
  <c r="AK5" i="1" s="1"/>
  <c r="AE15" i="1"/>
  <c r="H15" i="1" s="1"/>
  <c r="AJ8" i="1"/>
  <c r="AK8" i="1" s="1"/>
  <c r="AF15" i="1"/>
  <c r="H16" i="1" s="1"/>
  <c r="H21" i="1"/>
  <c r="H18" i="1" l="1"/>
  <c r="AK15" i="1"/>
  <c r="H17" i="1" s="1"/>
  <c r="H19" i="1" l="1"/>
  <c r="H23" i="1" s="1"/>
  <c r="H26" i="1" s="1"/>
  <c r="H37" i="1" l="1"/>
  <c r="H38" i="1" s="1"/>
  <c r="H39" i="1"/>
  <c r="H33" i="1" l="1"/>
  <c r="H32" i="1"/>
  <c r="H31" i="1"/>
  <c r="H30" i="1"/>
  <c r="H28" i="1"/>
  <c r="H34" i="1"/>
  <c r="H29" i="1"/>
  <c r="H35" i="1"/>
</calcChain>
</file>

<file path=xl/sharedStrings.xml><?xml version="1.0" encoding="utf-8"?>
<sst xmlns="http://schemas.openxmlformats.org/spreadsheetml/2006/main" count="159" uniqueCount="128">
  <si>
    <t>quotient familial</t>
  </si>
  <si>
    <t>prix du repas</t>
  </si>
  <si>
    <t>montant mensuel des allocations familiales</t>
  </si>
  <si>
    <t>QUOTIENT FAMILIAL</t>
  </si>
  <si>
    <t>PRIX DU REPAS</t>
  </si>
  <si>
    <t>Total</t>
  </si>
  <si>
    <t>montant des allocations familiales</t>
  </si>
  <si>
    <t>(3)</t>
  </si>
  <si>
    <t>((1)/12)+(2)</t>
  </si>
  <si>
    <t>complément dégressif</t>
  </si>
  <si>
    <t>complément enfant(s) de plus de 14 ans</t>
  </si>
  <si>
    <t>T1</t>
  </si>
  <si>
    <t>T2</t>
  </si>
  <si>
    <t>T3</t>
  </si>
  <si>
    <t>plafonds de ressources allocations familiales</t>
  </si>
  <si>
    <t>Nb enfants</t>
  </si>
  <si>
    <t>&gt; 99 238 €</t>
  </si>
  <si>
    <t>&gt; 105 077 €</t>
  </si>
  <si>
    <t>Complément enfants de plus de 14 ans</t>
  </si>
  <si>
    <t>allocations familiales</t>
  </si>
  <si>
    <t>complément + 14 ans</t>
  </si>
  <si>
    <t>AF annuelles</t>
  </si>
  <si>
    <t>montant complément</t>
  </si>
  <si>
    <t>plafond dépassé</t>
  </si>
  <si>
    <t>écart ressources - plafond dépassé</t>
  </si>
  <si>
    <t xml:space="preserve">  (1)</t>
  </si>
  <si>
    <t xml:space="preserve">  (2)</t>
  </si>
  <si>
    <t xml:space="preserve">  (3)</t>
  </si>
  <si>
    <t>de moins de 20 ans à charge</t>
  </si>
  <si>
    <t>du foyer</t>
  </si>
  <si>
    <t>NOMBRE DE PARTS DU FOYER</t>
  </si>
  <si>
    <t>REVENU ANNUEL (revenu fiscal de référence)</t>
  </si>
  <si>
    <t>ou montant du responsable 1</t>
  </si>
  <si>
    <t>et montant du responsable 2</t>
  </si>
  <si>
    <t>Quotient familial</t>
  </si>
  <si>
    <t>Garderie</t>
  </si>
  <si>
    <t>du matin</t>
  </si>
  <si>
    <t>Ateliers du soir</t>
  </si>
  <si>
    <t>Etudes dirigées</t>
  </si>
  <si>
    <t>Centre aéré</t>
  </si>
  <si>
    <t>Repas</t>
  </si>
  <si>
    <t>PAI</t>
  </si>
  <si>
    <t>De</t>
  </si>
  <si>
    <t>A</t>
  </si>
  <si>
    <t>Ateliers</t>
  </si>
  <si>
    <t>Après 17h45</t>
  </si>
  <si>
    <t>Journée</t>
  </si>
  <si>
    <t>Matin</t>
  </si>
  <si>
    <t>Après-midi</t>
  </si>
  <si>
    <t>Hors commune</t>
  </si>
  <si>
    <t>TARIF DES SERVICES PERISCOLAIRES A COMPTER DU 01 JANVIER 2023</t>
  </si>
  <si>
    <t>pai</t>
  </si>
  <si>
    <t>garderie matin</t>
  </si>
  <si>
    <t>après 17h45</t>
  </si>
  <si>
    <t>études</t>
  </si>
  <si>
    <t>ateliers du soir</t>
  </si>
  <si>
    <t>NOMBRE D'ENFANTS</t>
  </si>
  <si>
    <t>Nombre d’enfants à charge</t>
  </si>
  <si>
    <t>Ressources 2020</t>
  </si>
  <si>
    <r>
      <t>(plafonds en vigueur du 1</t>
    </r>
    <r>
      <rPr>
        <b/>
        <vertAlign val="superscript"/>
        <sz val="20"/>
        <color rgb="FFFFFFFF"/>
        <rFont val="Trebuchet MS"/>
      </rPr>
      <t>er</t>
    </r>
    <r>
      <rPr>
        <b/>
        <sz val="20"/>
        <color rgb="FFFFFFFF"/>
        <rFont val="Trebuchet MS"/>
      </rPr>
      <t xml:space="preserve"> janvier au 31 décembre 2022)</t>
    </r>
  </si>
  <si>
    <t>Tranche 1</t>
  </si>
  <si>
    <t>Tranche 2</t>
  </si>
  <si>
    <t>Tranche 3</t>
  </si>
  <si>
    <t>Par enfant en plus</t>
  </si>
  <si>
    <t>Allocations familiales pour 2 enfants</t>
  </si>
  <si>
    <t>Allocations familiales pour 3 enfants</t>
  </si>
  <si>
    <t>Majoration pour les enfants de 14 ans et plus</t>
  </si>
  <si>
    <t>Allocation forfaitaire (enfant de +20 ans et de -21 ans à charge)</t>
  </si>
  <si>
    <t>de</t>
  </si>
  <si>
    <t>à</t>
  </si>
  <si>
    <t>garderie du matin</t>
  </si>
  <si>
    <t>garderie après 17h45</t>
  </si>
  <si>
    <t>études dirigées</t>
  </si>
  <si>
    <t>Activités</t>
  </si>
  <si>
    <t>1 enfant</t>
  </si>
  <si>
    <t>2 enfants</t>
  </si>
  <si>
    <t>3 enfants</t>
  </si>
  <si>
    <t>4 enfants</t>
  </si>
  <si>
    <t>1 enfant extérieur</t>
  </si>
  <si>
    <t>2 enfants extérieurs</t>
  </si>
  <si>
    <t>Cantine</t>
  </si>
  <si>
    <t>Garderie du matin</t>
  </si>
  <si>
    <t>1,61 € / heure pour la garderie du matin.</t>
  </si>
  <si>
    <t>Toute heure commencée est due.</t>
  </si>
  <si>
    <t>Le tarif des ateliers est forfaitaire de 16h30 à 17H45 (goûter compris) :</t>
  </si>
  <si>
    <r>
      <t>ü</t>
    </r>
    <r>
      <rPr>
        <sz val="16"/>
        <color rgb="FF000000"/>
        <rFont val="Trebuchet MS"/>
        <family val="2"/>
      </rPr>
      <t>Atelier scientifique, créatif et multi-activités    2,06 €</t>
    </r>
  </si>
  <si>
    <r>
      <t>ü</t>
    </r>
    <r>
      <rPr>
        <sz val="16"/>
        <color rgb="FF000000"/>
        <rFont val="Trebuchet MS"/>
        <family val="2"/>
      </rPr>
      <t>Étude dirigée (et présence possible jusqu’à 18H30) 5,27 €</t>
    </r>
  </si>
  <si>
    <t>Pour les enfants des ateliers scientifiques, créatifs et multi-activités restant dans les locaux après 17h45, une facturation complémentaire d’un montant de 1,15 € est pratiquée.</t>
  </si>
  <si>
    <t>Dépassé 16h45 tous les enfants sans réservations mais encore présents, seront affectés à un atelier, une facturation avec majoration sera établie, et ils ne sortiront qu’à partir de 17h45.</t>
  </si>
  <si>
    <t>Majoration de 3 € en cas de retard après 18H30.</t>
  </si>
  <si>
    <t>Majorations</t>
  </si>
  <si>
    <t>Si aucune réservation n’a été effectuée, le service périscolaire se doit d’accepter l’enfant mais il sera appliqué une majoration de 30 % (Repas restauration scolaire, pour l’accueil en garderie du matin ou des ateliers du soir).</t>
  </si>
  <si>
    <t>21,18 € la journée, 15,82 € l’après-midi de 7H00 et 11,56 € pour une matinée de 5H00.</t>
  </si>
  <si>
    <t>En cas de présence de l’enfant sans en avoir été inscrit une pénalité de 21 € supplémentaire est appliqué sur tous les tarifs soit 42,18 €, 36,82 € et 32,56 € (majoration appliquée par la Commune d’Éragny et répercutée à l’usager par la Commune de Neuville-sur-Oise).</t>
  </si>
  <si>
    <t>TARIF DES SERVICES PERISCOLAIRES A COMPTER DU 01 JANVIER 2022</t>
  </si>
  <si>
    <t>ALLOCATIONS FAMILIALES (hors complémént familial)</t>
  </si>
  <si>
    <t>dont de moins de 3 ans</t>
  </si>
  <si>
    <t>dont de plus de 14 ans, sauf l'aîné de 2 enfants</t>
  </si>
  <si>
    <t>foyer avec 1 ou 2 revenus (parent isolé indiquez 2)</t>
  </si>
  <si>
    <t>complément familial</t>
  </si>
  <si>
    <t>plafond de ressources</t>
  </si>
  <si>
    <t>complément familial majoré</t>
  </si>
  <si>
    <t>tarif</t>
  </si>
  <si>
    <t>montant perçu</t>
  </si>
  <si>
    <t>Attention : cette simulation n'est qu'une estimation.</t>
  </si>
  <si>
    <t>&lt; ou =</t>
  </si>
  <si>
    <t>Complément familial</t>
  </si>
  <si>
    <t>Complément familial majoré</t>
  </si>
  <si>
    <t>5 enfants</t>
  </si>
  <si>
    <t>6 enfants</t>
  </si>
  <si>
    <t>En + par enfant à charge</t>
  </si>
  <si>
    <t>Montant Complément Familial de base :</t>
  </si>
  <si>
    <t>Montant Complément Familial majoré :</t>
  </si>
  <si>
    <t xml:space="preserve">      Sans majoration double activité</t>
  </si>
  <si>
    <t xml:space="preserve">      Avec majoration double activité</t>
  </si>
  <si>
    <t xml:space="preserve">     Sans majoration double activité</t>
  </si>
  <si>
    <t xml:space="preserve">     Avec majoration double activité</t>
  </si>
  <si>
    <t>Plafonds d'attribution Complément familial majoré au 01 01 2022</t>
  </si>
  <si>
    <t>Plafonds d'attribution Complémént familial de base au 01 01 2022</t>
  </si>
  <si>
    <t>Plafonds d'attribution Complément familial différentiel au 01 01 2022</t>
  </si>
  <si>
    <t>61 014  €</t>
  </si>
  <si>
    <t>Le complément dégressif</t>
  </si>
  <si>
    <t>Le complément dégressif est actionné lorsque la différence entre le plafond dépassé et les ressources de la famille ne dépasse pas 12 fois le montant mensuel des allocations qui sont normalement dues en comptant les éventuelles majorations pour âge.</t>
  </si>
  <si>
    <t>Ce complément dégressif est égal, pour chaque mois, au douzième de la différence entre, d'une part, le plafond de ressources majoré de la somme égale à 12 fois l’allocation familiale mensuelle et, d'autre part, le montant des ressources.</t>
  </si>
  <si>
    <t>Lorsque les ressources annuelles du foyer dépassent de peu l’un des plafonds, les ménages peuvent percevoir un complément dégressif. Ce mécanisme de lissage vise à atténuer les effets d’une baisse trop brutale de l’allocation forfaitaire.</t>
  </si>
  <si>
    <r>
      <t>Montant en vigueur du 1</t>
    </r>
    <r>
      <rPr>
        <b/>
        <vertAlign val="superscript"/>
        <sz val="18"/>
        <color rgb="FF000000"/>
        <rFont val="Trebuchet MS"/>
        <family val="2"/>
      </rPr>
      <t>er</t>
    </r>
    <r>
      <rPr>
        <b/>
        <sz val="18"/>
        <color rgb="FF000000"/>
        <rFont val="Trebuchet MS"/>
        <family val="2"/>
      </rPr>
      <t xml:space="preserve"> avril 2022 au 31 mars 2023</t>
    </r>
  </si>
  <si>
    <t>&gt; 93 399 €</t>
  </si>
  <si>
    <t>Total revenu fiscal de référence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</si>
</sst>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0\ &quot;€&quot;;[Red]\-#,##0\ &quot;€&quot;"/>
    <numFmt numFmtId="8" formatCode="#,##0.00\ &quot;€&quot;;[Red]\-#,##0.00\ &quot;€&quot;"/>
    <numFmt numFmtId="164" formatCode="#,##0.00\ &quot;€&quot;"/>
    <numFmt numFmtId="165" formatCode="#,##0\ &quot;€&quot;"/>
    <numFmt numFmtId="166" formatCode="#,##0.00\ _€"/>
    <numFmt numFmtId="167" formatCode="#,##0.0000000000000\ &quot;€&quot;"/>
  </numFmts>
  <fonts count="30" x14ac:knownFonts="1">
    <font>
      <sz val="11"/>
      <color theme="1"/>
      <name val="Calibri"/>
      <family val="2"/>
      <scheme val="minor"/>
    </font>
    <font>
      <sz val="16"/>
      <color theme="1"/>
      <name val="Calibri"/>
      <family val="2"/>
      <scheme val="minor"/>
    </font>
    <font>
      <b/>
      <sz val="16"/>
      <color theme="1"/>
      <name val="Calibri"/>
      <family val="2"/>
      <scheme val="minor"/>
    </font>
    <font>
      <sz val="20"/>
      <color theme="1"/>
      <name val="Calibri"/>
      <family val="2"/>
      <scheme val="minor"/>
    </font>
    <font>
      <sz val="24"/>
      <color theme="1"/>
      <name val="Calibri"/>
      <family val="2"/>
      <scheme val="minor"/>
    </font>
    <font>
      <b/>
      <sz val="11"/>
      <color theme="1"/>
      <name val="Calibri"/>
      <family val="2"/>
      <scheme val="minor"/>
    </font>
    <font>
      <sz val="18"/>
      <color theme="1"/>
      <name val="Calibri"/>
      <family val="2"/>
      <scheme val="minor"/>
    </font>
    <font>
      <b/>
      <sz val="18"/>
      <color theme="1"/>
      <name val="Calibri"/>
      <family val="2"/>
      <scheme val="minor"/>
    </font>
    <font>
      <b/>
      <sz val="20"/>
      <color rgb="FFFFFFFF"/>
      <name val="Calibri"/>
      <family val="2"/>
    </font>
    <font>
      <b/>
      <sz val="20"/>
      <color theme="1"/>
      <name val="Calibri"/>
      <family val="2"/>
    </font>
    <font>
      <sz val="10"/>
      <color theme="1"/>
      <name val="Arial Unicode MS"/>
      <family val="2"/>
    </font>
    <font>
      <b/>
      <sz val="20"/>
      <color rgb="FFFFFFFF"/>
      <name val="Trebuchet MS"/>
    </font>
    <font>
      <b/>
      <vertAlign val="superscript"/>
      <sz val="20"/>
      <color rgb="FFFFFFFF"/>
      <name val="Trebuchet MS"/>
    </font>
    <font>
      <b/>
      <sz val="20"/>
      <color rgb="FFFFFFFF"/>
      <name val="Trebuchet MS"/>
      <family val="2"/>
    </font>
    <font>
      <b/>
      <sz val="18"/>
      <color rgb="FF000000"/>
      <name val="Trebuchet MS"/>
      <family val="2"/>
    </font>
    <font>
      <b/>
      <sz val="18"/>
      <name val="Arial"/>
      <family val="2"/>
    </font>
    <font>
      <b/>
      <vertAlign val="superscript"/>
      <sz val="18"/>
      <color rgb="FF000000"/>
      <name val="Trebuchet MS"/>
      <family val="2"/>
    </font>
    <font>
      <b/>
      <sz val="18"/>
      <color rgb="FFFFFFFF"/>
      <name val="Trebuchet MS"/>
      <family val="2"/>
    </font>
    <font>
      <sz val="18"/>
      <color rgb="FF000000"/>
      <name val="Trebuchet MS"/>
      <family val="2"/>
    </font>
    <font>
      <sz val="16"/>
      <color rgb="FF000000"/>
      <name val="Trebuchet MS"/>
      <family val="2"/>
    </font>
    <font>
      <sz val="16"/>
      <name val="Wingdings"/>
      <charset val="2"/>
    </font>
    <font>
      <b/>
      <sz val="16"/>
      <color theme="1"/>
      <name val="Calibri"/>
      <family val="2"/>
    </font>
    <font>
      <b/>
      <sz val="16"/>
      <name val="Calibri"/>
      <family val="2"/>
    </font>
    <font>
      <i/>
      <u/>
      <sz val="50"/>
      <color rgb="FFFF0000"/>
      <name val="Calibri"/>
      <family val="2"/>
      <scheme val="minor"/>
    </font>
    <font>
      <u/>
      <sz val="48"/>
      <color theme="1"/>
      <name val="Calibri"/>
      <family val="2"/>
      <scheme val="minor"/>
    </font>
    <font>
      <u/>
      <sz val="11"/>
      <color theme="1"/>
      <name val="Calibri"/>
      <family val="2"/>
      <scheme val="minor"/>
    </font>
    <font>
      <b/>
      <sz val="18"/>
      <color theme="1"/>
      <name val="Trebuchet MS"/>
      <family val="2"/>
    </font>
    <font>
      <b/>
      <sz val="11"/>
      <color theme="1"/>
      <name val="Trebuchet MS"/>
      <family val="2"/>
    </font>
    <font>
      <b/>
      <sz val="28"/>
      <color theme="1"/>
      <name val="Calibri"/>
      <family val="2"/>
      <scheme val="minor"/>
    </font>
    <font>
      <b/>
      <sz val="24"/>
      <color theme="1"/>
      <name val="Calibri"/>
      <family val="2"/>
      <scheme val="minor"/>
    </font>
  </fonts>
  <fills count="9">
    <fill>
      <patternFill patternType="none"/>
    </fill>
    <fill>
      <patternFill patternType="gray125"/>
    </fill>
    <fill>
      <patternFill patternType="solid">
        <fgColor rgb="FF5B9BD5"/>
        <bgColor indexed="64"/>
      </patternFill>
    </fill>
    <fill>
      <patternFill patternType="solid">
        <fgColor rgb="FFDEEAF6"/>
        <bgColor indexed="64"/>
      </patternFill>
    </fill>
    <fill>
      <patternFill patternType="solid">
        <fgColor theme="4"/>
        <bgColor indexed="64"/>
      </patternFill>
    </fill>
    <fill>
      <patternFill patternType="solid">
        <fgColor theme="4" tint="0.79998168889431442"/>
        <bgColor indexed="64"/>
      </patternFill>
    </fill>
    <fill>
      <patternFill patternType="solid">
        <fgColor rgb="FF9CC2E5"/>
        <bgColor indexed="64"/>
      </patternFill>
    </fill>
    <fill>
      <patternFill patternType="solid">
        <fgColor rgb="FFFFFFFF"/>
        <bgColor indexed="64"/>
      </patternFill>
    </fill>
    <fill>
      <patternFill patternType="solid">
        <fgColor theme="0" tint="-0.1499984740745262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top/>
      <bottom style="thin">
        <color indexed="64"/>
      </bottom>
      <diagonal/>
    </border>
    <border>
      <left style="medium">
        <color rgb="FF9CC2E5"/>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style="medium">
        <color rgb="FFFFFFFF"/>
      </right>
      <top style="medium">
        <color rgb="FFFFFFFF"/>
      </top>
      <bottom/>
      <diagonal/>
    </border>
    <border>
      <left/>
      <right style="medium">
        <color rgb="FFFFFFFF"/>
      </right>
      <top/>
      <bottom style="medium">
        <color rgb="FF9CC2E5"/>
      </bottom>
      <diagonal/>
    </border>
    <border>
      <left/>
      <right/>
      <top style="medium">
        <color rgb="FFFFFFFF"/>
      </top>
      <bottom style="medium">
        <color rgb="FFFFFFFF"/>
      </bottom>
      <diagonal/>
    </border>
    <border>
      <left/>
      <right style="medium">
        <color rgb="FF9CC2E5"/>
      </right>
      <top/>
      <bottom style="medium">
        <color rgb="FF9CC2E5"/>
      </bottom>
      <diagonal/>
    </border>
    <border>
      <left style="medium">
        <color rgb="FF9CC2E5"/>
      </left>
      <right style="medium">
        <color rgb="FFFFFFFF"/>
      </right>
      <top/>
      <bottom style="medium">
        <color rgb="FF9CC2E5"/>
      </bottom>
      <diagonal/>
    </border>
    <border>
      <left style="medium">
        <color rgb="FF9CC2E5"/>
      </left>
      <right style="medium">
        <color rgb="FF9CC2E5"/>
      </right>
      <top/>
      <bottom style="medium">
        <color rgb="FF9CC2E5"/>
      </bottom>
      <diagonal/>
    </border>
    <border>
      <left style="medium">
        <color rgb="FFFFFFFF"/>
      </left>
      <right/>
      <top style="medium">
        <color rgb="FFFFFFFF"/>
      </top>
      <bottom style="medium">
        <color rgb="FFFFFFFF"/>
      </bottom>
      <diagonal/>
    </border>
    <border>
      <left style="medium">
        <color rgb="FFFFFFFF"/>
      </left>
      <right style="medium">
        <color rgb="FFFFFFFF"/>
      </right>
      <top style="medium">
        <color rgb="FFFFFFFF"/>
      </top>
      <bottom/>
      <diagonal/>
    </border>
    <border>
      <left style="medium">
        <color rgb="FFFFFFFF"/>
      </left>
      <right style="medium">
        <color rgb="FFFFFFFF"/>
      </right>
      <top/>
      <bottom style="medium">
        <color rgb="FF9CC2E5"/>
      </bottom>
      <diagonal/>
    </border>
    <border>
      <left style="medium">
        <color rgb="FFFFFFFF"/>
      </left>
      <right style="medium">
        <color rgb="FF9CC2E5"/>
      </right>
      <top style="medium">
        <color rgb="FFFFFFFF"/>
      </top>
      <bottom/>
      <diagonal/>
    </border>
    <border>
      <left style="medium">
        <color rgb="FFFFFFFF"/>
      </left>
      <right style="medium">
        <color rgb="FF9CC2E5"/>
      </right>
      <top/>
      <bottom style="medium">
        <color rgb="FF9CC2E5"/>
      </bottom>
      <diagonal/>
    </border>
    <border>
      <left style="medium">
        <color rgb="FF9CC2E5"/>
      </left>
      <right/>
      <top style="medium">
        <color rgb="FF9CC2E5"/>
      </top>
      <bottom style="medium">
        <color rgb="FF9CC2E5"/>
      </bottom>
      <diagonal/>
    </border>
    <border>
      <left/>
      <right style="medium">
        <color rgb="FF9CC2E5"/>
      </right>
      <top style="medium">
        <color rgb="FF9CC2E5"/>
      </top>
      <bottom style="medium">
        <color rgb="FF9CC2E5"/>
      </bottom>
      <diagonal/>
    </border>
    <border>
      <left style="medium">
        <color rgb="FFFFFFFF"/>
      </left>
      <right/>
      <top style="medium">
        <color rgb="FFFFFFFF"/>
      </top>
      <bottom/>
      <diagonal/>
    </border>
    <border>
      <left/>
      <right/>
      <top style="medium">
        <color rgb="FFFFFFFF"/>
      </top>
      <bottom/>
      <diagonal/>
    </border>
    <border>
      <left style="medium">
        <color rgb="FFFFFFFF"/>
      </left>
      <right/>
      <top/>
      <bottom style="thick">
        <color rgb="FFFFFFFF"/>
      </bottom>
      <diagonal/>
    </border>
    <border>
      <left/>
      <right/>
      <top/>
      <bottom style="thick">
        <color rgb="FFFFFFFF"/>
      </bottom>
      <diagonal/>
    </border>
    <border>
      <left/>
      <right style="medium">
        <color rgb="FFFFFFFF"/>
      </right>
      <top/>
      <bottom style="thick">
        <color rgb="FFFFFFFF"/>
      </bottom>
      <diagonal/>
    </border>
    <border>
      <left style="medium">
        <color rgb="FFFFFFFF"/>
      </left>
      <right/>
      <top/>
      <bottom/>
      <diagonal/>
    </border>
    <border>
      <left style="medium">
        <color rgb="FF9CC2E5"/>
      </left>
      <right style="medium">
        <color rgb="FF9CC2E5"/>
      </right>
      <top style="medium">
        <color rgb="FF9CC2E5"/>
      </top>
      <bottom style="medium">
        <color rgb="FF9CC2E5"/>
      </bottom>
      <diagonal/>
    </border>
    <border>
      <left style="medium">
        <color rgb="FF9CC2E5"/>
      </left>
      <right style="medium">
        <color rgb="FF9CC2E5"/>
      </right>
      <top style="medium">
        <color rgb="FF9CC2E5"/>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dotted">
        <color indexed="64"/>
      </top>
      <bottom style="dotted">
        <color indexed="64"/>
      </bottom>
      <diagonal/>
    </border>
    <border>
      <left/>
      <right/>
      <top style="medium">
        <color rgb="FF9CC2E5"/>
      </top>
      <bottom style="medium">
        <color rgb="FF9CC2E5"/>
      </bottom>
      <diagonal/>
    </border>
    <border>
      <left style="medium">
        <color rgb="FFFFFFFF"/>
      </left>
      <right/>
      <top style="thick">
        <color rgb="FFFFFFFF"/>
      </top>
      <bottom style="medium">
        <color rgb="FF9CC2E5"/>
      </bottom>
      <diagonal/>
    </border>
    <border>
      <left/>
      <right style="medium">
        <color rgb="FFFFFFFF"/>
      </right>
      <top style="thick">
        <color rgb="FFFFFFFF"/>
      </top>
      <bottom style="medium">
        <color rgb="FF9CC2E5"/>
      </bottom>
      <diagonal/>
    </border>
    <border>
      <left/>
      <right style="thin">
        <color indexed="64"/>
      </right>
      <top/>
      <bottom/>
      <diagonal/>
    </border>
  </borders>
  <cellStyleXfs count="1">
    <xf numFmtId="0" fontId="0" fillId="0" borderId="0"/>
  </cellStyleXfs>
  <cellXfs count="157">
    <xf numFmtId="0" fontId="0" fillId="0" borderId="0" xfId="0"/>
    <xf numFmtId="0" fontId="0" fillId="0" borderId="0" xfId="0" applyProtection="1">
      <protection locked="0"/>
    </xf>
    <xf numFmtId="0" fontId="0" fillId="0" borderId="0" xfId="0" applyProtection="1">
      <protection hidden="1"/>
    </xf>
    <xf numFmtId="165" fontId="0" fillId="0" borderId="0" xfId="0" applyNumberFormat="1" applyAlignment="1" applyProtection="1">
      <alignment horizontal="right"/>
      <protection hidden="1"/>
    </xf>
    <xf numFmtId="0" fontId="0" fillId="0" borderId="0" xfId="0" applyAlignment="1" applyProtection="1">
      <alignment horizontal="right"/>
      <protection hidden="1"/>
    </xf>
    <xf numFmtId="164" fontId="0" fillId="0" borderId="0" xfId="0" applyNumberFormat="1" applyProtection="1">
      <protection hidden="1"/>
    </xf>
    <xf numFmtId="164" fontId="5" fillId="0" borderId="3" xfId="0" applyNumberFormat="1" applyFont="1" applyBorder="1" applyProtection="1">
      <protection hidden="1"/>
    </xf>
    <xf numFmtId="0" fontId="5" fillId="0" borderId="0" xfId="0" applyFont="1" applyProtection="1">
      <protection hidden="1"/>
    </xf>
    <xf numFmtId="0" fontId="8" fillId="2" borderId="7" xfId="0" applyFont="1" applyFill="1" applyBorder="1" applyAlignment="1" applyProtection="1">
      <alignment horizontal="center" vertical="center" wrapText="1"/>
      <protection hidden="1"/>
    </xf>
    <xf numFmtId="0" fontId="8" fillId="2" borderId="11" xfId="0" applyFont="1" applyFill="1" applyBorder="1" applyAlignment="1" applyProtection="1">
      <alignment horizontal="center" vertical="center" wrapText="1"/>
      <protection hidden="1"/>
    </xf>
    <xf numFmtId="0" fontId="8" fillId="2" borderId="8" xfId="0" applyFont="1" applyFill="1" applyBorder="1" applyAlignment="1" applyProtection="1">
      <alignment horizontal="center" vertical="center" wrapText="1"/>
      <protection hidden="1"/>
    </xf>
    <xf numFmtId="0" fontId="8" fillId="2" borderId="10" xfId="0" applyFont="1" applyFill="1" applyBorder="1" applyAlignment="1" applyProtection="1">
      <alignment horizontal="center" vertical="center" wrapText="1"/>
      <protection hidden="1"/>
    </xf>
    <xf numFmtId="0" fontId="9" fillId="0" borderId="12" xfId="0" applyFont="1" applyBorder="1" applyAlignment="1" applyProtection="1">
      <alignment horizontal="center" vertical="center" wrapText="1"/>
      <protection hidden="1"/>
    </xf>
    <xf numFmtId="8" fontId="9" fillId="0" borderId="10" xfId="0" applyNumberFormat="1" applyFont="1" applyBorder="1" applyAlignment="1" applyProtection="1">
      <alignment horizontal="center" vertical="center" wrapText="1"/>
      <protection hidden="1"/>
    </xf>
    <xf numFmtId="8" fontId="9" fillId="3" borderId="10" xfId="0" applyNumberFormat="1" applyFont="1" applyFill="1" applyBorder="1" applyAlignment="1" applyProtection="1">
      <alignment horizontal="center" vertical="center" wrapText="1"/>
      <protection hidden="1"/>
    </xf>
    <xf numFmtId="0" fontId="1" fillId="0" borderId="0" xfId="0" applyFont="1" applyProtection="1">
      <protection hidden="1"/>
    </xf>
    <xf numFmtId="0" fontId="1" fillId="0" borderId="0" xfId="0" quotePrefix="1" applyFont="1" applyProtection="1">
      <protection hidden="1"/>
    </xf>
    <xf numFmtId="166" fontId="0" fillId="0" borderId="0" xfId="0" applyNumberFormat="1" applyProtection="1">
      <protection hidden="1"/>
    </xf>
    <xf numFmtId="0" fontId="0" fillId="0" borderId="0" xfId="0" applyBorder="1" applyProtection="1">
      <protection hidden="1"/>
    </xf>
    <xf numFmtId="166" fontId="0" fillId="0" borderId="0" xfId="0" applyNumberFormat="1" applyBorder="1" applyProtection="1">
      <protection hidden="1"/>
    </xf>
    <xf numFmtId="164" fontId="0" fillId="0" borderId="0" xfId="0" applyNumberFormat="1" applyBorder="1" applyProtection="1">
      <protection hidden="1"/>
    </xf>
    <xf numFmtId="164" fontId="4" fillId="0" borderId="0" xfId="0" applyNumberFormat="1" applyFont="1" applyBorder="1" applyProtection="1">
      <protection hidden="1"/>
    </xf>
    <xf numFmtId="0" fontId="0" fillId="0" borderId="0" xfId="0" applyBorder="1" applyAlignment="1" applyProtection="1">
      <alignment horizontal="center"/>
      <protection hidden="1"/>
    </xf>
    <xf numFmtId="0" fontId="0" fillId="0" borderId="0" xfId="0" quotePrefix="1" applyBorder="1" applyAlignment="1" applyProtection="1">
      <alignment horizontal="center"/>
      <protection hidden="1"/>
    </xf>
    <xf numFmtId="4" fontId="0" fillId="0" borderId="0" xfId="0" applyNumberFormat="1" applyBorder="1" applyProtection="1">
      <protection hidden="1"/>
    </xf>
    <xf numFmtId="0" fontId="2" fillId="0" borderId="1" xfId="0" applyFont="1" applyBorder="1" applyAlignment="1" applyProtection="1">
      <alignment horizontal="center"/>
      <protection hidden="1"/>
    </xf>
    <xf numFmtId="0" fontId="0" fillId="0" borderId="0" xfId="0" applyAlignment="1" applyProtection="1">
      <protection hidden="1"/>
    </xf>
    <xf numFmtId="165" fontId="0" fillId="0" borderId="0" xfId="0" applyNumberFormat="1" applyProtection="1">
      <protection hidden="1"/>
    </xf>
    <xf numFmtId="0" fontId="6" fillId="0" borderId="0" xfId="0" applyFont="1" applyProtection="1">
      <protection hidden="1"/>
    </xf>
    <xf numFmtId="0" fontId="1" fillId="0" borderId="0" xfId="0" applyFont="1" applyBorder="1" applyProtection="1">
      <protection hidden="1"/>
    </xf>
    <xf numFmtId="0" fontId="7" fillId="0" borderId="0" xfId="0" quotePrefix="1" applyFont="1" applyAlignment="1" applyProtection="1">
      <protection hidden="1"/>
    </xf>
    <xf numFmtId="0" fontId="7" fillId="0" borderId="2" xfId="0" quotePrefix="1" applyFont="1" applyBorder="1" applyAlignment="1" applyProtection="1">
      <alignment horizontal="center" vertical="top"/>
      <protection hidden="1"/>
    </xf>
    <xf numFmtId="8" fontId="9" fillId="0" borderId="0" xfId="0" applyNumberFormat="1" applyFont="1" applyFill="1" applyBorder="1" applyAlignment="1" applyProtection="1">
      <alignment horizontal="center" vertical="center" wrapText="1"/>
      <protection hidden="1"/>
    </xf>
    <xf numFmtId="8" fontId="21" fillId="0" borderId="30" xfId="0" applyNumberFormat="1" applyFont="1" applyFill="1" applyBorder="1" applyAlignment="1" applyProtection="1">
      <alignment horizontal="center" vertical="center" wrapText="1"/>
      <protection hidden="1"/>
    </xf>
    <xf numFmtId="8" fontId="21" fillId="0" borderId="31" xfId="0" applyNumberFormat="1" applyFont="1" applyFill="1" applyBorder="1" applyAlignment="1" applyProtection="1">
      <alignment horizontal="center" vertical="center" wrapText="1"/>
      <protection hidden="1"/>
    </xf>
    <xf numFmtId="164" fontId="2" fillId="0" borderId="29" xfId="0" applyNumberFormat="1" applyFont="1" applyBorder="1" applyAlignment="1" applyProtection="1">
      <alignment horizontal="center"/>
      <protection hidden="1"/>
    </xf>
    <xf numFmtId="164" fontId="2" fillId="0" borderId="33" xfId="0" applyNumberFormat="1" applyFont="1" applyBorder="1" applyAlignment="1" applyProtection="1">
      <alignment horizontal="center"/>
      <protection hidden="1"/>
    </xf>
    <xf numFmtId="164" fontId="2" fillId="0" borderId="31" xfId="0" applyNumberFormat="1" applyFont="1" applyBorder="1" applyAlignment="1" applyProtection="1">
      <alignment horizontal="center"/>
      <protection hidden="1"/>
    </xf>
    <xf numFmtId="164" fontId="2" fillId="0" borderId="34" xfId="0" applyNumberFormat="1" applyFont="1" applyBorder="1" applyAlignment="1" applyProtection="1">
      <alignment horizontal="center"/>
      <protection hidden="1"/>
    </xf>
    <xf numFmtId="164" fontId="2" fillId="0" borderId="32" xfId="0" applyNumberFormat="1" applyFont="1" applyBorder="1" applyAlignment="1" applyProtection="1">
      <alignment horizontal="center"/>
      <protection hidden="1"/>
    </xf>
    <xf numFmtId="164" fontId="2" fillId="0" borderId="35" xfId="0" applyNumberFormat="1" applyFont="1" applyBorder="1" applyAlignment="1" applyProtection="1">
      <alignment horizontal="center"/>
      <protection hidden="1"/>
    </xf>
    <xf numFmtId="8" fontId="21" fillId="0" borderId="32" xfId="0" applyNumberFormat="1" applyFont="1" applyFill="1" applyBorder="1" applyAlignment="1" applyProtection="1">
      <alignment horizontal="center" vertical="center" wrapText="1"/>
      <protection hidden="1"/>
    </xf>
    <xf numFmtId="4" fontId="2" fillId="0" borderId="29" xfId="0" applyNumberFormat="1" applyFont="1" applyBorder="1" applyProtection="1">
      <protection hidden="1"/>
    </xf>
    <xf numFmtId="4" fontId="2" fillId="0" borderId="32" xfId="0" applyNumberFormat="1" applyFont="1" applyBorder="1" applyProtection="1">
      <protection hidden="1"/>
    </xf>
    <xf numFmtId="4" fontId="2" fillId="0" borderId="32" xfId="0" applyNumberFormat="1" applyFont="1" applyBorder="1" applyAlignment="1" applyProtection="1">
      <protection hidden="1"/>
    </xf>
    <xf numFmtId="4" fontId="2" fillId="0" borderId="32" xfId="0" applyNumberFormat="1" applyFont="1" applyFill="1" applyBorder="1" applyProtection="1">
      <protection hidden="1"/>
    </xf>
    <xf numFmtId="4" fontId="2" fillId="0" borderId="31" xfId="0" applyNumberFormat="1" applyFont="1" applyBorder="1" applyProtection="1">
      <protection hidden="1"/>
    </xf>
    <xf numFmtId="4" fontId="2" fillId="0" borderId="31" xfId="0" applyNumberFormat="1" applyFont="1" applyFill="1" applyBorder="1" applyProtection="1">
      <protection hidden="1"/>
    </xf>
    <xf numFmtId="164" fontId="2" fillId="7" borderId="32" xfId="0" applyNumberFormat="1" applyFont="1" applyFill="1" applyBorder="1" applyAlignment="1" applyProtection="1">
      <alignment horizontal="center"/>
      <protection hidden="1"/>
    </xf>
    <xf numFmtId="0" fontId="0" fillId="0" borderId="0" xfId="0" applyFill="1" applyProtection="1">
      <protection hidden="1"/>
    </xf>
    <xf numFmtId="167" fontId="0" fillId="0" borderId="0" xfId="0" applyNumberFormat="1" applyBorder="1" applyProtection="1">
      <protection hidden="1"/>
    </xf>
    <xf numFmtId="0" fontId="23" fillId="0" borderId="0" xfId="0" applyFont="1" applyProtection="1">
      <protection hidden="1"/>
    </xf>
    <xf numFmtId="0" fontId="24" fillId="0" borderId="0" xfId="0" applyFont="1" applyBorder="1" applyProtection="1">
      <protection hidden="1"/>
    </xf>
    <xf numFmtId="0" fontId="25" fillId="0" borderId="0" xfId="0" applyFont="1" applyBorder="1" applyProtection="1">
      <protection hidden="1"/>
    </xf>
    <xf numFmtId="0" fontId="0" fillId="0" borderId="0" xfId="0" applyAlignment="1" applyProtection="1">
      <alignment horizontal="center" vertical="center" wrapText="1"/>
      <protection hidden="1"/>
    </xf>
    <xf numFmtId="0" fontId="22" fillId="0" borderId="1" xfId="0" applyFont="1" applyFill="1" applyBorder="1" applyAlignment="1" applyProtection="1">
      <alignment horizontal="center" vertical="center" wrapText="1"/>
      <protection hidden="1"/>
    </xf>
    <xf numFmtId="0" fontId="0" fillId="0" borderId="0" xfId="0" applyAlignment="1" applyProtection="1">
      <alignment horizontal="center"/>
      <protection hidden="1"/>
    </xf>
    <xf numFmtId="8" fontId="0" fillId="0" borderId="0" xfId="0" applyNumberFormat="1" applyProtection="1">
      <protection hidden="1"/>
    </xf>
    <xf numFmtId="0" fontId="14" fillId="0" borderId="26" xfId="0" applyFont="1" applyFill="1" applyBorder="1" applyAlignment="1" applyProtection="1">
      <alignment horizontal="center" vertical="center" wrapText="1" readingOrder="1"/>
      <protection hidden="1"/>
    </xf>
    <xf numFmtId="0" fontId="14" fillId="0" borderId="18" xfId="0" applyFont="1" applyFill="1" applyBorder="1" applyAlignment="1" applyProtection="1">
      <alignment horizontal="right" vertical="center" wrapText="1" readingOrder="1"/>
      <protection hidden="1"/>
    </xf>
    <xf numFmtId="6" fontId="14" fillId="0" borderId="19" xfId="0" applyNumberFormat="1" applyFont="1" applyFill="1" applyBorder="1" applyAlignment="1" applyProtection="1">
      <alignment horizontal="center" vertical="center" wrapText="1" readingOrder="1"/>
      <protection hidden="1"/>
    </xf>
    <xf numFmtId="0" fontId="14" fillId="5" borderId="26" xfId="0" applyFont="1" applyFill="1" applyBorder="1" applyAlignment="1" applyProtection="1">
      <alignment horizontal="center" vertical="center" wrapText="1" readingOrder="1"/>
      <protection hidden="1"/>
    </xf>
    <xf numFmtId="0" fontId="14" fillId="5" borderId="18" xfId="0" applyFont="1" applyFill="1" applyBorder="1" applyAlignment="1" applyProtection="1">
      <alignment horizontal="right" vertical="center" wrapText="1" readingOrder="1"/>
      <protection hidden="1"/>
    </xf>
    <xf numFmtId="6" fontId="14" fillId="5" borderId="19" xfId="0" applyNumberFormat="1" applyFont="1" applyFill="1" applyBorder="1" applyAlignment="1" applyProtection="1">
      <alignment horizontal="center" vertical="center" wrapText="1" readingOrder="1"/>
      <protection hidden="1"/>
    </xf>
    <xf numFmtId="0" fontId="14" fillId="5" borderId="26" xfId="0" applyFont="1" applyFill="1" applyBorder="1" applyAlignment="1" applyProtection="1">
      <alignment horizontal="left" vertical="center" wrapText="1" readingOrder="1"/>
      <protection hidden="1"/>
    </xf>
    <xf numFmtId="0" fontId="15" fillId="0" borderId="26" xfId="0" applyFont="1" applyFill="1" applyBorder="1" applyAlignment="1" applyProtection="1">
      <alignment vertical="top" wrapText="1"/>
      <protection hidden="1"/>
    </xf>
    <xf numFmtId="0" fontId="14" fillId="0" borderId="26" xfId="0" applyFont="1" applyFill="1" applyBorder="1" applyAlignment="1" applyProtection="1">
      <alignment horizontal="left" vertical="center" wrapText="1" readingOrder="1"/>
      <protection hidden="1"/>
    </xf>
    <xf numFmtId="0" fontId="7" fillId="0" borderId="0" xfId="0" applyFont="1" applyAlignment="1" applyProtection="1">
      <alignment vertical="center"/>
      <protection hidden="1"/>
    </xf>
    <xf numFmtId="0" fontId="27" fillId="0" borderId="0" xfId="0" applyFont="1" applyProtection="1">
      <protection hidden="1"/>
    </xf>
    <xf numFmtId="0" fontId="26" fillId="0" borderId="0" xfId="0" applyFont="1" applyProtection="1">
      <protection hidden="1"/>
    </xf>
    <xf numFmtId="8" fontId="26" fillId="5" borderId="0" xfId="0" applyNumberFormat="1" applyFont="1" applyFill="1" applyProtection="1">
      <protection hidden="1"/>
    </xf>
    <xf numFmtId="8" fontId="26" fillId="0" borderId="0" xfId="0" applyNumberFormat="1" applyFont="1" applyProtection="1">
      <protection hidden="1"/>
    </xf>
    <xf numFmtId="0" fontId="17" fillId="4" borderId="0" xfId="0" applyFont="1" applyFill="1" applyAlignment="1" applyProtection="1">
      <alignment horizontal="center" vertical="center"/>
      <protection hidden="1"/>
    </xf>
    <xf numFmtId="0" fontId="17" fillId="4" borderId="0" xfId="0" applyFont="1" applyFill="1" applyAlignment="1" applyProtection="1">
      <alignment horizontal="center" vertical="center" wrapText="1"/>
      <protection hidden="1"/>
    </xf>
    <xf numFmtId="0" fontId="26" fillId="5" borderId="0" xfId="0" applyFont="1" applyFill="1" applyProtection="1">
      <protection hidden="1"/>
    </xf>
    <xf numFmtId="6" fontId="26" fillId="0" borderId="0" xfId="0" applyNumberFormat="1" applyFont="1" applyAlignment="1" applyProtection="1">
      <alignment horizontal="center"/>
      <protection hidden="1"/>
    </xf>
    <xf numFmtId="6" fontId="26" fillId="5" borderId="0" xfId="0" applyNumberFormat="1" applyFont="1" applyFill="1" applyAlignment="1" applyProtection="1">
      <alignment horizontal="center"/>
      <protection hidden="1"/>
    </xf>
    <xf numFmtId="0" fontId="26" fillId="0" borderId="0" xfId="0" applyFont="1" applyAlignment="1" applyProtection="1">
      <alignment horizontal="center"/>
      <protection hidden="1"/>
    </xf>
    <xf numFmtId="0" fontId="26" fillId="5" borderId="0" xfId="0" applyFont="1" applyFill="1" applyAlignment="1" applyProtection="1">
      <alignment horizontal="center"/>
      <protection hidden="1"/>
    </xf>
    <xf numFmtId="165" fontId="26" fillId="0" borderId="0" xfId="0" applyNumberFormat="1" applyFont="1" applyAlignment="1" applyProtection="1">
      <alignment horizontal="center"/>
      <protection hidden="1"/>
    </xf>
    <xf numFmtId="0" fontId="17" fillId="4" borderId="14" xfId="0" applyFont="1" applyFill="1" applyBorder="1" applyAlignment="1" applyProtection="1">
      <alignment horizontal="center" vertical="center" wrapText="1" readingOrder="1"/>
      <protection hidden="1"/>
    </xf>
    <xf numFmtId="0" fontId="18" fillId="6" borderId="26" xfId="0" applyFont="1" applyFill="1" applyBorder="1" applyAlignment="1" applyProtection="1">
      <alignment horizontal="left" vertical="center" wrapText="1" indent="1" readingOrder="1"/>
      <protection hidden="1"/>
    </xf>
    <xf numFmtId="8" fontId="19" fillId="6" borderId="26" xfId="0" applyNumberFormat="1" applyFont="1" applyFill="1" applyBorder="1" applyAlignment="1" applyProtection="1">
      <alignment horizontal="center" vertical="center" wrapText="1" readingOrder="1"/>
      <protection hidden="1"/>
    </xf>
    <xf numFmtId="0" fontId="18" fillId="0" borderId="26" xfId="0" applyFont="1" applyFill="1" applyBorder="1" applyAlignment="1" applyProtection="1">
      <alignment horizontal="left" vertical="center" wrapText="1" indent="1" readingOrder="1"/>
      <protection hidden="1"/>
    </xf>
    <xf numFmtId="4" fontId="9" fillId="0" borderId="10" xfId="0" applyNumberFormat="1" applyFont="1" applyBorder="1" applyAlignment="1" applyProtection="1">
      <alignment horizontal="center" vertical="center" wrapText="1"/>
      <protection hidden="1"/>
    </xf>
    <xf numFmtId="4" fontId="9" fillId="3" borderId="10" xfId="0" applyNumberFormat="1" applyFont="1" applyFill="1" applyBorder="1" applyAlignment="1" applyProtection="1">
      <alignment horizontal="center" vertical="center" wrapText="1"/>
      <protection hidden="1"/>
    </xf>
    <xf numFmtId="4" fontId="9" fillId="3" borderId="12" xfId="0" applyNumberFormat="1" applyFont="1" applyFill="1" applyBorder="1" applyAlignment="1" applyProtection="1">
      <alignment horizontal="center" vertical="center" wrapText="1"/>
      <protection hidden="1"/>
    </xf>
    <xf numFmtId="4" fontId="9" fillId="0" borderId="12" xfId="0" applyNumberFormat="1" applyFont="1" applyBorder="1" applyAlignment="1" applyProtection="1">
      <alignment horizontal="center" vertical="center" wrapText="1"/>
      <protection hidden="1"/>
    </xf>
    <xf numFmtId="0" fontId="8" fillId="2" borderId="13" xfId="0" applyFont="1" applyFill="1" applyBorder="1" applyAlignment="1" applyProtection="1">
      <alignment horizontal="center" vertical="center" wrapText="1"/>
      <protection hidden="1"/>
    </xf>
    <xf numFmtId="0" fontId="8" fillId="2" borderId="9" xfId="0" applyFont="1" applyFill="1" applyBorder="1" applyAlignment="1" applyProtection="1">
      <alignment horizontal="center" vertical="center" wrapText="1"/>
      <protection hidden="1"/>
    </xf>
    <xf numFmtId="0" fontId="8" fillId="2" borderId="6" xfId="0" applyFont="1" applyFill="1" applyBorder="1" applyAlignment="1" applyProtection="1">
      <alignment horizontal="center" vertical="center" wrapText="1"/>
      <protection hidden="1"/>
    </xf>
    <xf numFmtId="0" fontId="2" fillId="0" borderId="1"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2" fillId="0" borderId="28" xfId="0" applyFont="1" applyBorder="1" applyAlignment="1" applyProtection="1">
      <alignment horizontal="center" vertical="center" wrapText="1"/>
      <protection hidden="1"/>
    </xf>
    <xf numFmtId="0" fontId="28" fillId="0" borderId="0" xfId="0" applyFont="1" applyAlignment="1" applyProtection="1">
      <alignment horizontal="center" vertical="center"/>
      <protection hidden="1"/>
    </xf>
    <xf numFmtId="0" fontId="28" fillId="0" borderId="39" xfId="0" applyFont="1" applyBorder="1" applyAlignment="1" applyProtection="1">
      <alignment horizontal="center" vertical="center"/>
      <protection hidden="1"/>
    </xf>
    <xf numFmtId="0" fontId="0" fillId="0" borderId="0" xfId="0" applyAlignment="1" applyProtection="1">
      <alignment horizontal="center"/>
      <protection hidden="1"/>
    </xf>
    <xf numFmtId="0" fontId="22" fillId="0" borderId="1" xfId="0" applyFont="1" applyFill="1" applyBorder="1" applyAlignment="1" applyProtection="1">
      <alignment horizontal="center" vertical="center" wrapText="1"/>
      <protection hidden="1"/>
    </xf>
    <xf numFmtId="0" fontId="19" fillId="0" borderId="26" xfId="0" applyFont="1" applyFill="1" applyBorder="1" applyAlignment="1" applyProtection="1">
      <alignment horizontal="left" vertical="center" wrapText="1" indent="1" readingOrder="1"/>
      <protection hidden="1"/>
    </xf>
    <xf numFmtId="0" fontId="18" fillId="6" borderId="26" xfId="0" applyFont="1" applyFill="1" applyBorder="1" applyAlignment="1" applyProtection="1">
      <alignment horizontal="center" vertical="center" wrapText="1" readingOrder="1"/>
      <protection hidden="1"/>
    </xf>
    <xf numFmtId="0" fontId="19" fillId="6" borderId="26" xfId="0" applyFont="1" applyFill="1" applyBorder="1" applyAlignment="1" applyProtection="1">
      <alignment horizontal="left" vertical="center" wrapText="1" indent="1" readingOrder="1"/>
      <protection hidden="1"/>
    </xf>
    <xf numFmtId="0" fontId="3" fillId="0" borderId="0" xfId="0" applyFont="1" applyAlignment="1" applyProtection="1">
      <alignment horizontal="center"/>
      <protection hidden="1"/>
    </xf>
    <xf numFmtId="0" fontId="18" fillId="0" borderId="26" xfId="0" applyFont="1" applyFill="1" applyBorder="1" applyAlignment="1" applyProtection="1">
      <alignment horizontal="left" vertical="center" wrapText="1" indent="1" readingOrder="1"/>
      <protection hidden="1"/>
    </xf>
    <xf numFmtId="0" fontId="19" fillId="0" borderId="27" xfId="0" applyFont="1" applyFill="1" applyBorder="1" applyAlignment="1" applyProtection="1">
      <alignment horizontal="left" vertical="center" wrapText="1" indent="1" readingOrder="1"/>
      <protection hidden="1"/>
    </xf>
    <xf numFmtId="0" fontId="19" fillId="0" borderId="12" xfId="0" applyFont="1" applyFill="1" applyBorder="1" applyAlignment="1" applyProtection="1">
      <alignment horizontal="left" vertical="center" wrapText="1" indent="1" readingOrder="1"/>
      <protection hidden="1"/>
    </xf>
    <xf numFmtId="0" fontId="18" fillId="6" borderId="26" xfId="0" applyFont="1" applyFill="1" applyBorder="1" applyAlignment="1" applyProtection="1">
      <alignment horizontal="left" vertical="center" wrapText="1" indent="1" readingOrder="1"/>
      <protection hidden="1"/>
    </xf>
    <xf numFmtId="0" fontId="19" fillId="6" borderId="26" xfId="0" applyFont="1" applyFill="1" applyBorder="1" applyAlignment="1" applyProtection="1">
      <alignment horizontal="justify" vertical="center" wrapText="1" readingOrder="1"/>
      <protection hidden="1"/>
    </xf>
    <xf numFmtId="0" fontId="20" fillId="6" borderId="26" xfId="0" applyFont="1" applyFill="1" applyBorder="1" applyAlignment="1" applyProtection="1">
      <alignment horizontal="justify" vertical="center" wrapText="1" readingOrder="1"/>
      <protection hidden="1"/>
    </xf>
    <xf numFmtId="0" fontId="19" fillId="6" borderId="26" xfId="0" applyFont="1" applyFill="1" applyBorder="1" applyAlignment="1" applyProtection="1">
      <alignment horizontal="left" vertical="center" wrapText="1" readingOrder="1"/>
      <protection hidden="1"/>
    </xf>
    <xf numFmtId="0" fontId="9" fillId="3" borderId="18" xfId="0" applyFont="1" applyFill="1" applyBorder="1" applyAlignment="1" applyProtection="1">
      <alignment horizontal="center" vertical="center" wrapText="1"/>
      <protection hidden="1"/>
    </xf>
    <xf numFmtId="0" fontId="9" fillId="3" borderId="19" xfId="0" applyFont="1" applyFill="1" applyBorder="1" applyAlignment="1" applyProtection="1">
      <alignment horizontal="center" vertical="center" wrapText="1"/>
      <protection hidden="1"/>
    </xf>
    <xf numFmtId="0" fontId="8" fillId="2" borderId="5" xfId="0" applyFont="1" applyFill="1" applyBorder="1" applyAlignment="1" applyProtection="1">
      <alignment horizontal="center" vertical="center" wrapText="1"/>
      <protection hidden="1"/>
    </xf>
    <xf numFmtId="0" fontId="8" fillId="2" borderId="14" xfId="0" applyFont="1" applyFill="1" applyBorder="1" applyAlignment="1" applyProtection="1">
      <alignment horizontal="center" vertical="center" wrapText="1"/>
      <protection hidden="1"/>
    </xf>
    <xf numFmtId="0" fontId="8" fillId="2" borderId="15" xfId="0" applyFont="1" applyFill="1" applyBorder="1" applyAlignment="1" applyProtection="1">
      <alignment horizontal="center" vertical="center" wrapText="1"/>
      <protection hidden="1"/>
    </xf>
    <xf numFmtId="0" fontId="8" fillId="2" borderId="16" xfId="0" applyFont="1" applyFill="1" applyBorder="1" applyAlignment="1" applyProtection="1">
      <alignment horizontal="center" vertical="center" wrapText="1"/>
      <protection hidden="1"/>
    </xf>
    <xf numFmtId="0" fontId="8" fillId="2" borderId="17" xfId="0" applyFont="1" applyFill="1" applyBorder="1" applyAlignment="1" applyProtection="1">
      <alignment horizontal="center" vertical="center" wrapText="1"/>
      <protection hidden="1"/>
    </xf>
    <xf numFmtId="8" fontId="14" fillId="0" borderId="18" xfId="0" applyNumberFormat="1" applyFont="1" applyFill="1" applyBorder="1" applyAlignment="1" applyProtection="1">
      <alignment horizontal="center" vertical="center" wrapText="1" readingOrder="1"/>
      <protection hidden="1"/>
    </xf>
    <xf numFmtId="8" fontId="14" fillId="0" borderId="36" xfId="0" applyNumberFormat="1" applyFont="1" applyFill="1" applyBorder="1" applyAlignment="1" applyProtection="1">
      <alignment horizontal="center" vertical="center" wrapText="1" readingOrder="1"/>
      <protection hidden="1"/>
    </xf>
    <xf numFmtId="8" fontId="14" fillId="0" borderId="19" xfId="0" applyNumberFormat="1" applyFont="1" applyFill="1" applyBorder="1" applyAlignment="1" applyProtection="1">
      <alignment horizontal="center" vertical="center" wrapText="1" readingOrder="1"/>
      <protection hidden="1"/>
    </xf>
    <xf numFmtId="8" fontId="14" fillId="5" borderId="18" xfId="0" applyNumberFormat="1" applyFont="1" applyFill="1" applyBorder="1" applyAlignment="1" applyProtection="1">
      <alignment horizontal="center" vertical="center" wrapText="1" readingOrder="1"/>
      <protection hidden="1"/>
    </xf>
    <xf numFmtId="8" fontId="14" fillId="5" borderId="36" xfId="0" applyNumberFormat="1" applyFont="1" applyFill="1" applyBorder="1" applyAlignment="1" applyProtection="1">
      <alignment horizontal="center" vertical="center" wrapText="1" readingOrder="1"/>
      <protection hidden="1"/>
    </xf>
    <xf numFmtId="8" fontId="14" fillId="5" borderId="19" xfId="0" applyNumberFormat="1" applyFont="1" applyFill="1" applyBorder="1" applyAlignment="1" applyProtection="1">
      <alignment horizontal="center" vertical="center" wrapText="1" readingOrder="1"/>
      <protection hidden="1"/>
    </xf>
    <xf numFmtId="0" fontId="11" fillId="4" borderId="20" xfId="0" applyFont="1" applyFill="1" applyBorder="1" applyAlignment="1" applyProtection="1">
      <alignment horizontal="center" vertical="center" wrapText="1" readingOrder="1"/>
      <protection hidden="1"/>
    </xf>
    <xf numFmtId="0" fontId="11" fillId="4" borderId="25" xfId="0" applyFont="1" applyFill="1" applyBorder="1" applyAlignment="1" applyProtection="1">
      <alignment horizontal="center" vertical="center" wrapText="1" readingOrder="1"/>
      <protection hidden="1"/>
    </xf>
    <xf numFmtId="0" fontId="13" fillId="4" borderId="37" xfId="0" applyFont="1" applyFill="1" applyBorder="1" applyAlignment="1" applyProtection="1">
      <alignment horizontal="center" vertical="center" wrapText="1" readingOrder="1"/>
      <protection hidden="1"/>
    </xf>
    <xf numFmtId="0" fontId="13" fillId="4" borderId="38" xfId="0" applyFont="1" applyFill="1" applyBorder="1" applyAlignment="1" applyProtection="1">
      <alignment horizontal="center" vertical="center" wrapText="1" readingOrder="1"/>
      <protection hidden="1"/>
    </xf>
    <xf numFmtId="6" fontId="14" fillId="5" borderId="18" xfId="0" applyNumberFormat="1" applyFont="1" applyFill="1" applyBorder="1" applyAlignment="1" applyProtection="1">
      <alignment horizontal="center" vertical="center" wrapText="1" readingOrder="1"/>
      <protection hidden="1"/>
    </xf>
    <xf numFmtId="6" fontId="14" fillId="5" borderId="19" xfId="0" applyNumberFormat="1" applyFont="1" applyFill="1" applyBorder="1" applyAlignment="1" applyProtection="1">
      <alignment horizontal="center" vertical="center" wrapText="1" readingOrder="1"/>
      <protection hidden="1"/>
    </xf>
    <xf numFmtId="0" fontId="14" fillId="0" borderId="18" xfId="0" applyFont="1" applyFill="1" applyBorder="1" applyAlignment="1" applyProtection="1">
      <alignment horizontal="center" vertical="center" wrapText="1" readingOrder="1"/>
      <protection hidden="1"/>
    </xf>
    <xf numFmtId="0" fontId="14" fillId="0" borderId="36" xfId="0" applyFont="1" applyFill="1" applyBorder="1" applyAlignment="1" applyProtection="1">
      <alignment horizontal="center" vertical="center" wrapText="1" readingOrder="1"/>
      <protection hidden="1"/>
    </xf>
    <xf numFmtId="0" fontId="14" fillId="0" borderId="19" xfId="0" applyFont="1" applyFill="1" applyBorder="1" applyAlignment="1" applyProtection="1">
      <alignment horizontal="center" vertical="center" wrapText="1" readingOrder="1"/>
      <protection hidden="1"/>
    </xf>
    <xf numFmtId="0" fontId="11" fillId="4" borderId="21" xfId="0" applyFont="1" applyFill="1" applyBorder="1" applyAlignment="1" applyProtection="1">
      <alignment horizontal="center" vertical="center" wrapText="1" readingOrder="1"/>
      <protection hidden="1"/>
    </xf>
    <xf numFmtId="0" fontId="11" fillId="4" borderId="7" xfId="0" applyFont="1" applyFill="1" applyBorder="1" applyAlignment="1" applyProtection="1">
      <alignment horizontal="center" vertical="center" wrapText="1" readingOrder="1"/>
      <protection hidden="1"/>
    </xf>
    <xf numFmtId="0" fontId="11" fillId="4" borderId="22" xfId="0" applyFont="1" applyFill="1" applyBorder="1" applyAlignment="1" applyProtection="1">
      <alignment horizontal="center" vertical="center" wrapText="1" readingOrder="1"/>
      <protection hidden="1"/>
    </xf>
    <xf numFmtId="0" fontId="11" fillId="4" borderId="23" xfId="0" applyFont="1" applyFill="1" applyBorder="1" applyAlignment="1" applyProtection="1">
      <alignment horizontal="center" vertical="center" wrapText="1" readingOrder="1"/>
      <protection hidden="1"/>
    </xf>
    <xf numFmtId="0" fontId="11" fillId="4" borderId="24" xfId="0" applyFont="1" applyFill="1" applyBorder="1" applyAlignment="1" applyProtection="1">
      <alignment horizontal="center" vertical="center" wrapText="1" readingOrder="1"/>
      <protection hidden="1"/>
    </xf>
    <xf numFmtId="6" fontId="14" fillId="0" borderId="18" xfId="0" applyNumberFormat="1" applyFont="1" applyFill="1" applyBorder="1" applyAlignment="1" applyProtection="1">
      <alignment horizontal="center" vertical="center" wrapText="1" readingOrder="1"/>
      <protection hidden="1"/>
    </xf>
    <xf numFmtId="6" fontId="14" fillId="0" borderId="19" xfId="0" applyNumberFormat="1" applyFont="1" applyFill="1" applyBorder="1" applyAlignment="1" applyProtection="1">
      <alignment horizontal="center" vertical="center" wrapText="1" readingOrder="1"/>
      <protection hidden="1"/>
    </xf>
    <xf numFmtId="0" fontId="1" fillId="0" borderId="0" xfId="0" applyFont="1" applyFill="1" applyBorder="1" applyProtection="1">
      <protection locked="0"/>
    </xf>
    <xf numFmtId="1" fontId="6" fillId="0" borderId="2" xfId="0" applyNumberFormat="1" applyFont="1" applyFill="1" applyBorder="1" applyAlignment="1" applyProtection="1">
      <alignment horizontal="center" vertical="center"/>
      <protection locked="0"/>
    </xf>
    <xf numFmtId="1" fontId="6" fillId="0" borderId="4" xfId="0" applyNumberFormat="1" applyFont="1" applyFill="1" applyBorder="1" applyAlignment="1" applyProtection="1">
      <alignment horizontal="center" vertical="center"/>
      <protection locked="0"/>
    </xf>
    <xf numFmtId="164" fontId="6" fillId="0" borderId="1" xfId="0" applyNumberFormat="1" applyFont="1" applyFill="1" applyBorder="1" applyAlignment="1" applyProtection="1">
      <alignment horizontal="right" vertical="center"/>
      <protection hidden="1"/>
    </xf>
    <xf numFmtId="164" fontId="6" fillId="0" borderId="0" xfId="0" applyNumberFormat="1" applyFont="1" applyFill="1" applyBorder="1" applyAlignment="1" applyProtection="1">
      <alignment horizontal="right" vertical="center"/>
      <protection hidden="1"/>
    </xf>
    <xf numFmtId="0" fontId="6" fillId="0" borderId="0" xfId="0" applyFont="1" applyFill="1" applyAlignment="1" applyProtection="1">
      <alignment horizontal="right" vertical="center"/>
      <protection hidden="1"/>
    </xf>
    <xf numFmtId="0" fontId="6" fillId="0" borderId="0" xfId="0" applyFont="1" applyFill="1" applyAlignment="1" applyProtection="1">
      <alignment horizontal="center" vertical="center"/>
      <protection hidden="1"/>
    </xf>
    <xf numFmtId="0" fontId="6" fillId="0" borderId="1" xfId="0" applyFont="1" applyFill="1" applyBorder="1" applyAlignment="1" applyProtection="1">
      <alignment horizontal="center" vertical="center"/>
      <protection hidden="1"/>
    </xf>
    <xf numFmtId="164" fontId="28" fillId="0" borderId="1" xfId="0" applyNumberFormat="1" applyFont="1" applyFill="1" applyBorder="1" applyAlignment="1" applyProtection="1">
      <alignment horizontal="center" vertical="center"/>
      <protection hidden="1"/>
    </xf>
    <xf numFmtId="164" fontId="0" fillId="0" borderId="0" xfId="0" applyNumberFormat="1" applyFill="1" applyBorder="1" applyProtection="1">
      <protection hidden="1"/>
    </xf>
    <xf numFmtId="0" fontId="0" fillId="0" borderId="0" xfId="0" applyFill="1" applyBorder="1" applyProtection="1">
      <protection hidden="1"/>
    </xf>
    <xf numFmtId="0" fontId="10" fillId="0" borderId="0" xfId="0" applyFont="1" applyFill="1" applyAlignment="1" applyProtection="1">
      <alignment vertical="center"/>
      <protection hidden="1"/>
    </xf>
    <xf numFmtId="164" fontId="0" fillId="0" borderId="0" xfId="0" applyNumberFormat="1" applyFill="1" applyProtection="1">
      <protection hidden="1"/>
    </xf>
    <xf numFmtId="0" fontId="0" fillId="0" borderId="0" xfId="0" applyFill="1" applyProtection="1">
      <protection locked="0"/>
    </xf>
    <xf numFmtId="1" fontId="6" fillId="8" borderId="1" xfId="0" applyNumberFormat="1" applyFont="1" applyFill="1" applyBorder="1" applyAlignment="1" applyProtection="1">
      <alignment horizontal="center" vertical="center"/>
      <protection locked="0"/>
    </xf>
    <xf numFmtId="164" fontId="6" fillId="8" borderId="1" xfId="0" applyNumberFormat="1" applyFont="1" applyFill="1" applyBorder="1" applyAlignment="1" applyProtection="1">
      <alignment horizontal="right" vertical="center"/>
      <protection locked="0"/>
    </xf>
    <xf numFmtId="0" fontId="6" fillId="0" borderId="0" xfId="0" applyFont="1" applyAlignment="1" applyProtection="1">
      <alignment horizontal="left"/>
      <protection hidden="1"/>
    </xf>
    <xf numFmtId="0" fontId="6" fillId="0" borderId="39" xfId="0" applyFont="1" applyBorder="1" applyAlignment="1" applyProtection="1">
      <alignment horizontal="left"/>
      <protection hidden="1"/>
    </xf>
    <xf numFmtId="4" fontId="29" fillId="0" borderId="1" xfId="0" applyNumberFormat="1" applyFont="1" applyFill="1" applyBorder="1" applyAlignment="1" applyProtection="1">
      <alignment horizontal="center" vertical="center"/>
      <protection hidden="1"/>
    </xf>
  </cellXfs>
  <cellStyles count="1">
    <cellStyle name="Normal" xfId="0" builtinId="0"/>
  </cellStyles>
  <dxfs count="17">
    <dxf>
      <font>
        <color rgb="FF9C0006"/>
      </font>
      <fill>
        <patternFill>
          <bgColor rgb="FFFFC7CE"/>
        </patternFill>
      </fill>
    </dxf>
    <dxf>
      <font>
        <color rgb="FFC00000"/>
      </font>
      <fill>
        <patternFill>
          <bgColor rgb="FFFFC000"/>
        </patternFill>
      </fill>
    </dxf>
    <dxf>
      <font>
        <color rgb="FFC00000"/>
      </font>
      <fill>
        <patternFill>
          <bgColor rgb="FFFFC000"/>
        </patternFill>
      </fill>
    </dxf>
    <dxf>
      <font>
        <color rgb="FFC00000"/>
      </font>
      <fill>
        <patternFill>
          <bgColor rgb="FFFFC000"/>
        </patternFill>
      </fill>
    </dxf>
    <dxf>
      <font>
        <u val="none"/>
        <color rgb="FF9C0006"/>
      </font>
      <fill>
        <patternFill patternType="solid">
          <fgColor auto="1"/>
          <bgColor rgb="FFFFC000"/>
        </patternFill>
      </fill>
    </dxf>
    <dxf>
      <font>
        <color rgb="FF9C0006"/>
      </font>
      <fill>
        <patternFill>
          <bgColor rgb="FFFFC000"/>
        </patternFill>
      </fill>
    </dxf>
    <dxf>
      <font>
        <color rgb="FF9C0006"/>
      </font>
      <fill>
        <patternFill>
          <bgColor rgb="FFFFC000"/>
        </patternFill>
      </fill>
    </dxf>
    <dxf>
      <font>
        <color rgb="FF9C0006"/>
      </font>
      <fill>
        <patternFill>
          <bgColor rgb="FFFFC000"/>
        </patternFill>
      </fill>
    </dxf>
    <dxf>
      <font>
        <color rgb="FF9C0006"/>
      </font>
      <fill>
        <patternFill>
          <bgColor rgb="FFFFC000"/>
        </patternFill>
      </fill>
    </dxf>
    <dxf>
      <font>
        <color rgb="FF9C0006"/>
      </font>
      <fill>
        <patternFill>
          <bgColor rgb="FFFFC000"/>
        </patternFill>
      </fill>
    </dxf>
    <dxf>
      <font>
        <color rgb="FF9C0006"/>
      </font>
      <fill>
        <patternFill>
          <bgColor rgb="FFFFC000"/>
        </patternFill>
      </fill>
    </dxf>
    <dxf>
      <font>
        <color rgb="FF9C0006"/>
      </font>
      <fill>
        <patternFill>
          <bgColor rgb="FFFFC000"/>
        </patternFill>
      </fill>
    </dxf>
    <dxf>
      <font>
        <color rgb="FF9C0006"/>
      </font>
      <fill>
        <patternFill>
          <bgColor rgb="FFFFC000"/>
        </patternFill>
      </fill>
    </dxf>
    <dxf>
      <font>
        <color rgb="FF9C0006"/>
      </font>
      <fill>
        <patternFill>
          <bgColor rgb="FFFFC000"/>
        </patternFill>
      </fill>
    </dxf>
    <dxf>
      <font>
        <color rgb="FF9C0006"/>
      </font>
      <fill>
        <patternFill>
          <bgColor rgb="FFFFC000"/>
        </patternFill>
      </fill>
    </dxf>
    <dxf>
      <font>
        <color rgb="FFC00000"/>
      </font>
      <fill>
        <patternFill>
          <bgColor rgb="FFFFC000"/>
        </patternFill>
      </fill>
    </dxf>
    <dxf>
      <font>
        <b val="0"/>
        <i val="0"/>
        <color rgb="FFC00000"/>
      </font>
      <fill>
        <patternFill>
          <bgColor rgb="FFFFC000"/>
        </patternFill>
      </fill>
    </dxf>
  </dxfs>
  <tableStyles count="0" defaultTableStyle="TableStyleMedium2" defaultPivotStyle="PivotStyleLight16"/>
  <colors>
    <mruColors>
      <color rgb="FFFFFFFF"/>
      <color rgb="FFFF33CC"/>
      <color rgb="FFFFCCCC"/>
      <color rgb="FFFF99CC"/>
      <color rgb="FFC30000"/>
      <color rgb="FFFF9999"/>
      <color rgb="FFFF6699"/>
      <color rgb="FF9CC2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27"/>
  <sheetViews>
    <sheetView tabSelected="1" zoomScale="80" zoomScaleNormal="80" workbookViewId="0">
      <selection activeCell="H9" sqref="H9"/>
    </sheetView>
  </sheetViews>
  <sheetFormatPr baseColWidth="10" defaultColWidth="10.85546875" defaultRowHeight="15" x14ac:dyDescent="0.25"/>
  <cols>
    <col min="1" max="1" width="10.85546875" style="2"/>
    <col min="2" max="2" width="3.42578125" style="2" customWidth="1"/>
    <col min="3" max="5" width="10.85546875" style="2"/>
    <col min="6" max="6" width="17.140625" style="2" customWidth="1"/>
    <col min="7" max="7" width="27.28515625" style="2" customWidth="1"/>
    <col min="8" max="8" width="20.140625" style="151" customWidth="1"/>
    <col min="9" max="9" width="10.85546875" style="2"/>
    <col min="10" max="10" width="14.28515625" style="2" customWidth="1"/>
    <col min="11" max="11" width="16.42578125" style="2" customWidth="1"/>
    <col min="12" max="20" width="18.42578125" style="2" customWidth="1"/>
    <col min="21" max="30" width="10.85546875" style="2" hidden="1" customWidth="1"/>
    <col min="31" max="31" width="12.7109375" style="2" hidden="1" customWidth="1"/>
    <col min="32" max="32" width="15.28515625" style="2" hidden="1" customWidth="1"/>
    <col min="33" max="33" width="10.85546875" style="2" hidden="1" customWidth="1"/>
    <col min="34" max="37" width="19.85546875" style="2" hidden="1" customWidth="1"/>
    <col min="38" max="47" width="10.85546875" style="2" hidden="1" customWidth="1"/>
    <col min="48" max="51" width="10.85546875" style="2"/>
    <col min="52" max="16384" width="10.85546875" style="1"/>
  </cols>
  <sheetData>
    <row r="1" spans="1:48" ht="21" customHeight="1" x14ac:dyDescent="0.35">
      <c r="B1" s="29"/>
      <c r="C1" s="29"/>
      <c r="D1" s="29"/>
      <c r="E1" s="29"/>
      <c r="F1" s="29"/>
      <c r="G1" s="29"/>
      <c r="H1" s="138"/>
      <c r="J1" s="91" t="s">
        <v>0</v>
      </c>
      <c r="K1" s="91"/>
      <c r="L1" s="91" t="s">
        <v>1</v>
      </c>
      <c r="M1" s="91" t="s">
        <v>51</v>
      </c>
      <c r="N1" s="91" t="s">
        <v>70</v>
      </c>
      <c r="O1" s="91" t="s">
        <v>55</v>
      </c>
      <c r="P1" s="91" t="s">
        <v>71</v>
      </c>
      <c r="Q1" s="93" t="s">
        <v>72</v>
      </c>
      <c r="R1" s="97" t="s">
        <v>39</v>
      </c>
      <c r="S1" s="97"/>
      <c r="T1" s="97"/>
      <c r="V1" s="92" t="s">
        <v>14</v>
      </c>
      <c r="W1" s="92"/>
      <c r="X1" s="92"/>
      <c r="Y1" s="92" t="s">
        <v>6</v>
      </c>
      <c r="Z1" s="92"/>
      <c r="AA1" s="92"/>
      <c r="AB1" s="92" t="s">
        <v>18</v>
      </c>
      <c r="AC1" s="92"/>
      <c r="AD1" s="92"/>
      <c r="AE1" s="54" t="s">
        <v>19</v>
      </c>
      <c r="AF1" s="54" t="s">
        <v>20</v>
      </c>
      <c r="AH1" s="92" t="s">
        <v>9</v>
      </c>
      <c r="AI1" s="92"/>
      <c r="AJ1" s="92"/>
      <c r="AK1" s="92"/>
      <c r="AL1" s="96" t="s">
        <v>99</v>
      </c>
      <c r="AM1" s="96"/>
      <c r="AN1" s="96"/>
      <c r="AO1" s="96"/>
      <c r="AP1" s="96"/>
      <c r="AQ1" s="96" t="s">
        <v>101</v>
      </c>
      <c r="AR1" s="96"/>
      <c r="AS1" s="96"/>
      <c r="AT1" s="96"/>
      <c r="AU1" s="96"/>
    </row>
    <row r="2" spans="1:48" ht="21" customHeight="1" x14ac:dyDescent="0.35">
      <c r="A2" s="28" t="s">
        <v>56</v>
      </c>
      <c r="B2" s="29"/>
      <c r="C2" s="29"/>
      <c r="D2" s="29"/>
      <c r="E2" s="29"/>
      <c r="F2" s="29"/>
      <c r="G2" s="29"/>
      <c r="H2" s="138"/>
      <c r="J2" s="25" t="s">
        <v>68</v>
      </c>
      <c r="K2" s="25" t="s">
        <v>69</v>
      </c>
      <c r="L2" s="91"/>
      <c r="M2" s="91"/>
      <c r="N2" s="91"/>
      <c r="O2" s="91"/>
      <c r="P2" s="91"/>
      <c r="Q2" s="93"/>
      <c r="R2" s="55" t="s">
        <v>46</v>
      </c>
      <c r="S2" s="55" t="s">
        <v>47</v>
      </c>
      <c r="T2" s="55" t="s">
        <v>48</v>
      </c>
      <c r="U2" s="56" t="s">
        <v>15</v>
      </c>
      <c r="V2" s="56" t="s">
        <v>11</v>
      </c>
      <c r="W2" s="56" t="s">
        <v>12</v>
      </c>
      <c r="X2" s="56" t="s">
        <v>13</v>
      </c>
      <c r="Y2" s="56" t="s">
        <v>11</v>
      </c>
      <c r="Z2" s="56" t="s">
        <v>12</v>
      </c>
      <c r="AA2" s="56" t="s">
        <v>13</v>
      </c>
      <c r="AB2" s="56"/>
      <c r="AC2" s="56"/>
      <c r="AD2" s="56"/>
      <c r="AG2" s="54"/>
      <c r="AH2" s="92" t="s">
        <v>23</v>
      </c>
      <c r="AI2" s="92" t="s">
        <v>24</v>
      </c>
      <c r="AJ2" s="92" t="s">
        <v>21</v>
      </c>
      <c r="AK2" s="92" t="s">
        <v>22</v>
      </c>
      <c r="AL2" s="96" t="s">
        <v>100</v>
      </c>
      <c r="AM2" s="96"/>
      <c r="AN2" s="56" t="s">
        <v>102</v>
      </c>
      <c r="AO2" s="96" t="s">
        <v>103</v>
      </c>
      <c r="AP2" s="96"/>
      <c r="AQ2" s="96" t="s">
        <v>100</v>
      </c>
      <c r="AR2" s="96"/>
      <c r="AS2" s="56" t="s">
        <v>102</v>
      </c>
      <c r="AT2" s="96" t="s">
        <v>103</v>
      </c>
      <c r="AU2" s="96"/>
    </row>
    <row r="3" spans="1:48" ht="23.25" x14ac:dyDescent="0.35">
      <c r="A3" s="28"/>
      <c r="B3" s="28" t="s">
        <v>28</v>
      </c>
      <c r="C3" s="28"/>
      <c r="D3" s="28"/>
      <c r="E3" s="28"/>
      <c r="F3" s="28"/>
      <c r="G3" s="28"/>
      <c r="H3" s="152">
        <v>2</v>
      </c>
      <c r="I3" s="15"/>
      <c r="J3" s="42">
        <v>0</v>
      </c>
      <c r="K3" s="42">
        <v>300</v>
      </c>
      <c r="L3" s="35">
        <v>2.5</v>
      </c>
      <c r="M3" s="35">
        <v>0.7</v>
      </c>
      <c r="N3" s="35">
        <v>0.82</v>
      </c>
      <c r="O3" s="35">
        <v>1.06</v>
      </c>
      <c r="P3" s="35">
        <v>0.6</v>
      </c>
      <c r="Q3" s="36">
        <v>2.7</v>
      </c>
      <c r="R3" s="33">
        <v>10.85</v>
      </c>
      <c r="S3" s="33">
        <v>5.92</v>
      </c>
      <c r="T3" s="33">
        <v>8.1</v>
      </c>
      <c r="U3" s="56">
        <v>0</v>
      </c>
      <c r="V3" s="56"/>
      <c r="W3" s="56"/>
      <c r="X3" s="56"/>
      <c r="Y3" s="56"/>
      <c r="Z3" s="56"/>
      <c r="AA3" s="56"/>
      <c r="AB3" s="56"/>
      <c r="AC3" s="56"/>
      <c r="AD3" s="56"/>
      <c r="AH3" s="92"/>
      <c r="AI3" s="92"/>
      <c r="AJ3" s="92"/>
      <c r="AK3" s="92"/>
      <c r="AL3" s="26"/>
      <c r="AM3" s="26"/>
    </row>
    <row r="4" spans="1:48" ht="23.25" x14ac:dyDescent="0.35">
      <c r="A4" s="28"/>
      <c r="B4" s="28" t="s">
        <v>96</v>
      </c>
      <c r="C4" s="28"/>
      <c r="D4" s="28"/>
      <c r="E4" s="28"/>
      <c r="F4" s="28"/>
      <c r="G4" s="28"/>
      <c r="H4" s="152">
        <v>1</v>
      </c>
      <c r="I4" s="15"/>
      <c r="J4" s="43">
        <f>K3+0.01</f>
        <v>300.01</v>
      </c>
      <c r="K4" s="43">
        <v>500</v>
      </c>
      <c r="L4" s="39">
        <v>2.83</v>
      </c>
      <c r="M4" s="39">
        <v>0.7</v>
      </c>
      <c r="N4" s="39">
        <v>0.93</v>
      </c>
      <c r="O4" s="39">
        <v>1.19</v>
      </c>
      <c r="P4" s="39">
        <v>0.68</v>
      </c>
      <c r="Q4" s="40">
        <v>3.06</v>
      </c>
      <c r="R4" s="41">
        <v>12.28</v>
      </c>
      <c r="S4" s="41">
        <v>6.7</v>
      </c>
      <c r="T4" s="41">
        <v>9.17</v>
      </c>
      <c r="U4" s="56">
        <v>1</v>
      </c>
      <c r="V4" s="56"/>
      <c r="W4" s="56"/>
      <c r="X4" s="56"/>
      <c r="Y4" s="56"/>
      <c r="Z4" s="56"/>
      <c r="AA4" s="56"/>
      <c r="AB4" s="56"/>
      <c r="AC4" s="56"/>
      <c r="AD4" s="56"/>
    </row>
    <row r="5" spans="1:48" ht="23.25" x14ac:dyDescent="0.35">
      <c r="A5" s="28"/>
      <c r="B5" s="28" t="s">
        <v>97</v>
      </c>
      <c r="C5" s="28"/>
      <c r="D5" s="28"/>
      <c r="E5" s="28"/>
      <c r="F5" s="28"/>
      <c r="G5" s="28"/>
      <c r="H5" s="152">
        <v>0</v>
      </c>
      <c r="I5" s="15"/>
      <c r="J5" s="43">
        <f t="shared" ref="J5:J12" si="0">K4+0.01</f>
        <v>500.01</v>
      </c>
      <c r="K5" s="43">
        <v>700</v>
      </c>
      <c r="L5" s="48">
        <v>3.16</v>
      </c>
      <c r="M5" s="39">
        <v>0.7</v>
      </c>
      <c r="N5" s="39">
        <v>1.04</v>
      </c>
      <c r="O5" s="39">
        <v>1.33</v>
      </c>
      <c r="P5" s="39">
        <v>0.76</v>
      </c>
      <c r="Q5" s="40">
        <v>3.41</v>
      </c>
      <c r="R5" s="41">
        <v>13.71</v>
      </c>
      <c r="S5" s="41">
        <v>7.49</v>
      </c>
      <c r="T5" s="41">
        <v>10.24</v>
      </c>
      <c r="U5" s="56">
        <v>2</v>
      </c>
      <c r="V5" s="3">
        <f>'Allocations Familiales'!C4</f>
        <v>70074</v>
      </c>
      <c r="W5" s="3">
        <f>'Allocations Familiales'!E4</f>
        <v>93399</v>
      </c>
      <c r="X5" s="4" t="str">
        <f t="shared" ref="X5:X7" si="1">CONCATENATE("&gt; ",W5," €")</f>
        <v>&gt; 93399 €</v>
      </c>
      <c r="Y5" s="5">
        <f>'Allocations Familiales'!B9</f>
        <v>134.46</v>
      </c>
      <c r="Z5" s="5">
        <f>'Allocations Familiales'!D9</f>
        <v>67.23</v>
      </c>
      <c r="AA5" s="5">
        <f>'Allocations Familiales'!F9</f>
        <v>33.619999999999997</v>
      </c>
      <c r="AB5" s="5"/>
      <c r="AC5" s="5"/>
      <c r="AD5" s="5"/>
      <c r="AE5" s="5">
        <f t="shared" ref="AE5:AE13" si="2">IF($H$3&lt;&gt;$U5,0,(IF($H$12&gt;$W5,$AA5,IF($H$12&gt;$V5,$Z5,$Y5))))</f>
        <v>134.46</v>
      </c>
      <c r="AF5" s="5">
        <f t="shared" ref="AF5:AF13" si="3">IF($H$3&lt;&gt;$U5,0,(IF($H$12&lt;=$V5,$AB$14*$H$5,IF($H$12&lt;=$W5,$AC$14*$H$5,$AD$14*$H$5))))</f>
        <v>0</v>
      </c>
      <c r="AG5" s="2">
        <f t="shared" ref="AG5:AG13" si="4">IF($H$3&lt;&gt;$U5,0,1)</f>
        <v>1</v>
      </c>
      <c r="AH5" s="2">
        <f t="shared" ref="AH5:AH13" si="5">IF(AG5=1,IF($H$12&lt;V5,0,LOOKUP($H$12,V5:W5)))</f>
        <v>0</v>
      </c>
      <c r="AI5" s="5">
        <f>IF(AG5=1,+$H$12-AH5,0)</f>
        <v>42000</v>
      </c>
      <c r="AJ5" s="5">
        <f t="shared" ref="AJ5:AJ7" si="6">IF(AG5=1,(AE5+AF5)*12,0)</f>
        <v>1613.52</v>
      </c>
      <c r="AK5" s="5">
        <f t="shared" ref="AK5:AK12" si="7">IF($H$12&lt;V5,0,IF(AJ5&gt;AI5,ROUND((AH5+AJ5-$H$12)/12,2),0))</f>
        <v>0</v>
      </c>
      <c r="AV5" s="49"/>
    </row>
    <row r="6" spans="1:48" ht="23.25" x14ac:dyDescent="0.35">
      <c r="A6" s="28"/>
      <c r="B6" s="28"/>
      <c r="C6" s="28"/>
      <c r="D6" s="28"/>
      <c r="E6" s="28"/>
      <c r="F6" s="28"/>
      <c r="G6" s="28"/>
      <c r="H6" s="139"/>
      <c r="I6" s="16"/>
      <c r="J6" s="43">
        <f t="shared" si="0"/>
        <v>700.01</v>
      </c>
      <c r="K6" s="43">
        <v>900</v>
      </c>
      <c r="L6" s="39">
        <v>3.49</v>
      </c>
      <c r="M6" s="39">
        <v>0.7</v>
      </c>
      <c r="N6" s="39">
        <v>1.1499999999999999</v>
      </c>
      <c r="O6" s="39">
        <v>1.47</v>
      </c>
      <c r="P6" s="39">
        <v>0.84</v>
      </c>
      <c r="Q6" s="40">
        <v>3.77</v>
      </c>
      <c r="R6" s="41">
        <v>15.15</v>
      </c>
      <c r="S6" s="41">
        <v>8.27</v>
      </c>
      <c r="T6" s="41">
        <v>11.31</v>
      </c>
      <c r="U6" s="56">
        <v>3</v>
      </c>
      <c r="V6" s="3">
        <f>'Allocations Familiales'!C5</f>
        <v>75913</v>
      </c>
      <c r="W6" s="3">
        <f>'Allocations Familiales'!E5</f>
        <v>99238</v>
      </c>
      <c r="X6" s="4" t="str">
        <f t="shared" si="1"/>
        <v>&gt; 99238 €</v>
      </c>
      <c r="Y6" s="5">
        <f>'Allocations Familiales'!B10</f>
        <v>306.72000000000003</v>
      </c>
      <c r="Z6" s="5">
        <f>'Allocations Familiales'!D10</f>
        <v>153.36000000000001</v>
      </c>
      <c r="AA6" s="5">
        <f>'Allocations Familiales'!F10</f>
        <v>76.69</v>
      </c>
      <c r="AB6" s="5"/>
      <c r="AC6" s="5"/>
      <c r="AD6" s="5"/>
      <c r="AE6" s="5">
        <f t="shared" si="2"/>
        <v>0</v>
      </c>
      <c r="AF6" s="5">
        <f t="shared" si="3"/>
        <v>0</v>
      </c>
      <c r="AG6" s="2">
        <f t="shared" si="4"/>
        <v>0</v>
      </c>
      <c r="AH6" s="2" t="b">
        <f t="shared" si="5"/>
        <v>0</v>
      </c>
      <c r="AI6" s="5">
        <f>IF(AG6=1,+$H$12-AH6,0)</f>
        <v>0</v>
      </c>
      <c r="AJ6" s="5">
        <f t="shared" si="6"/>
        <v>0</v>
      </c>
      <c r="AK6" s="5">
        <f t="shared" si="7"/>
        <v>0</v>
      </c>
      <c r="AL6" s="27">
        <f>'Allocations Familiales'!B32</f>
        <v>39196</v>
      </c>
      <c r="AM6" s="27">
        <f>'Allocations Familiales'!B33</f>
        <v>47948</v>
      </c>
      <c r="AN6" s="5">
        <f>'Allocations Familiales'!B24</f>
        <v>175.01</v>
      </c>
      <c r="AO6" s="5">
        <f>IF($H$3=$U6,IF($H$3-$H$4&lt;3,0,IF($H$8=2,0,IF($H$12&lt;=AL6,AN6,0))),0)</f>
        <v>0</v>
      </c>
      <c r="AP6" s="5">
        <f>IF($H$3=$U6,IF($H$3-$H$4&lt;3,0,IF($H$8=1,0,IF($H$12&lt;=AM6,AN6,0))),0)</f>
        <v>0</v>
      </c>
      <c r="AQ6" s="27">
        <f>'Allocations Familiales'!B28</f>
        <v>19603</v>
      </c>
      <c r="AR6" s="27">
        <f>'Allocations Familiales'!B29</f>
        <v>23979</v>
      </c>
      <c r="AS6" s="5">
        <f>'Allocations Familiales'!B25-'Allocations Familiales'!B24</f>
        <v>87.519999999999982</v>
      </c>
      <c r="AT6" s="5">
        <f>IF($H$3=$U6,IF($H$3-$H$4&lt;3,0,IF($H$8=2,0,IF($H$12&lt;=AQ6,AS6,0))),0)</f>
        <v>0</v>
      </c>
      <c r="AU6" s="5">
        <f>IF($H$3=$U6,IF($H$3-$H$4&lt;3,0,IF($H$8=1,0,IF($H$12&lt;=AR6,AS6,0))),0)</f>
        <v>0</v>
      </c>
      <c r="AV6" s="5"/>
    </row>
    <row r="7" spans="1:48" ht="23.25" x14ac:dyDescent="0.35">
      <c r="A7" s="28" t="s">
        <v>31</v>
      </c>
      <c r="B7" s="28"/>
      <c r="C7" s="28"/>
      <c r="D7" s="28"/>
      <c r="E7" s="28"/>
      <c r="F7" s="28"/>
      <c r="G7" s="28"/>
      <c r="H7" s="140"/>
      <c r="I7" s="16"/>
      <c r="J7" s="43">
        <f t="shared" si="0"/>
        <v>900.01</v>
      </c>
      <c r="K7" s="43">
        <v>1100</v>
      </c>
      <c r="L7" s="39">
        <v>3.82</v>
      </c>
      <c r="M7" s="39">
        <v>0.7</v>
      </c>
      <c r="N7" s="39">
        <v>1.26</v>
      </c>
      <c r="O7" s="39">
        <v>1.61</v>
      </c>
      <c r="P7" s="39">
        <v>0.92</v>
      </c>
      <c r="Q7" s="40">
        <v>4.13</v>
      </c>
      <c r="R7" s="41">
        <v>16.579999999999998</v>
      </c>
      <c r="S7" s="41">
        <v>9.0500000000000007</v>
      </c>
      <c r="T7" s="41">
        <v>12.38</v>
      </c>
      <c r="U7" s="56">
        <v>4</v>
      </c>
      <c r="V7" s="3">
        <f>'Allocations Familiales'!C6</f>
        <v>81752</v>
      </c>
      <c r="W7" s="3">
        <f>'Allocations Familiales'!E6</f>
        <v>105077</v>
      </c>
      <c r="X7" s="4" t="str">
        <f t="shared" si="1"/>
        <v>&gt; 105077 €</v>
      </c>
      <c r="Y7" s="5">
        <f>Y6+'Allocations Familiales'!B$11</f>
        <v>478.99</v>
      </c>
      <c r="Z7" s="5">
        <f>Z6+'Allocations Familiales'!D$11</f>
        <v>239.5</v>
      </c>
      <c r="AA7" s="5">
        <f>AA6+'Allocations Familiales'!F$11</f>
        <v>119.75999999999999</v>
      </c>
      <c r="AB7" s="5"/>
      <c r="AC7" s="5"/>
      <c r="AD7" s="5"/>
      <c r="AE7" s="5">
        <f t="shared" si="2"/>
        <v>0</v>
      </c>
      <c r="AF7" s="5">
        <f t="shared" si="3"/>
        <v>0</v>
      </c>
      <c r="AG7" s="2">
        <f t="shared" si="4"/>
        <v>0</v>
      </c>
      <c r="AH7" s="2" t="b">
        <f t="shared" si="5"/>
        <v>0</v>
      </c>
      <c r="AI7" s="5">
        <f>IF(AG7=1,+$H$12-AH7,0)</f>
        <v>0</v>
      </c>
      <c r="AJ7" s="5">
        <f t="shared" si="6"/>
        <v>0</v>
      </c>
      <c r="AK7" s="5">
        <f t="shared" si="7"/>
        <v>0</v>
      </c>
      <c r="AL7" s="27">
        <f>+AL6+'Allocations Familiales'!F$32</f>
        <v>45729</v>
      </c>
      <c r="AM7" s="27">
        <f>+AM6+'Allocations Familiales'!F$33</f>
        <v>54481</v>
      </c>
      <c r="AN7" s="5">
        <f>AN6</f>
        <v>175.01</v>
      </c>
      <c r="AO7" s="5">
        <f t="shared" ref="AO7:AO13" si="8">IF($H$3=$U7,IF($H$3-$H$4&lt;3,0,IF($H$8=2,0,IF($H$12&lt;=AL7,AN7,0))),0)</f>
        <v>0</v>
      </c>
      <c r="AP7" s="5">
        <f t="shared" ref="AP7:AP13" si="9">IF($H$3=$U7,IF($H$3-$H$4&lt;3,0,IF($H$8=1,0,IF($H$12&lt;=AM7,AN7,0))),0)</f>
        <v>0</v>
      </c>
      <c r="AQ7" s="27">
        <f>+AQ6+'Allocations Familiales'!F$28</f>
        <v>22870</v>
      </c>
      <c r="AR7" s="27">
        <f>+AR6+'Allocations Familiales'!F$29</f>
        <v>27246</v>
      </c>
      <c r="AS7" s="5">
        <f>AS6</f>
        <v>87.519999999999982</v>
      </c>
      <c r="AT7" s="5">
        <f t="shared" ref="AT7:AT13" si="10">IF($H$3=$U7,IF($H$3-$H$4&lt;3,0,IF($H$8=2,0,IF($H$12&lt;=AQ7,AS7,0))),0)</f>
        <v>0</v>
      </c>
      <c r="AU7" s="5">
        <f t="shared" ref="AU7:AU13" si="11">IF($H$3=$U7,IF($H$3-$H$4&lt;3,0,IF($H$8=1,0,IF($H$12&lt;=AR7,AS7,0))),0)</f>
        <v>0</v>
      </c>
      <c r="AV7" s="5"/>
    </row>
    <row r="8" spans="1:48" ht="23.25" x14ac:dyDescent="0.35">
      <c r="A8" s="28"/>
      <c r="B8" s="28" t="s">
        <v>98</v>
      </c>
      <c r="C8" s="28"/>
      <c r="D8" s="28"/>
      <c r="E8" s="28"/>
      <c r="F8" s="28"/>
      <c r="G8" s="28"/>
      <c r="H8" s="152">
        <v>2</v>
      </c>
      <c r="I8" s="16"/>
      <c r="J8" s="43">
        <f t="shared" si="0"/>
        <v>1100.01</v>
      </c>
      <c r="K8" s="44">
        <v>1300</v>
      </c>
      <c r="L8" s="39">
        <v>4.1500000000000004</v>
      </c>
      <c r="M8" s="39">
        <v>0.85</v>
      </c>
      <c r="N8" s="39">
        <v>1.37</v>
      </c>
      <c r="O8" s="39">
        <v>1.75</v>
      </c>
      <c r="P8" s="39">
        <v>1</v>
      </c>
      <c r="Q8" s="40">
        <v>4.4800000000000004</v>
      </c>
      <c r="R8" s="41">
        <v>18.010000000000002</v>
      </c>
      <c r="S8" s="41">
        <v>9.83</v>
      </c>
      <c r="T8" s="41">
        <v>13.45</v>
      </c>
      <c r="U8" s="56">
        <v>5</v>
      </c>
      <c r="V8" s="3">
        <f>V7+'Allocations Familiales'!B$7</f>
        <v>87591</v>
      </c>
      <c r="W8" s="3">
        <f>W7+'Allocations Familiales'!D$7</f>
        <v>110916</v>
      </c>
      <c r="X8" s="4" t="str">
        <f>CONCATENATE("&gt; ",W8," €")</f>
        <v>&gt; 110916 €</v>
      </c>
      <c r="Y8" s="5">
        <f>Y7+'Allocations Familiales'!B$11</f>
        <v>651.26</v>
      </c>
      <c r="Z8" s="5">
        <f>Z7+'Allocations Familiales'!D$11</f>
        <v>325.64</v>
      </c>
      <c r="AA8" s="5">
        <f>AA7+'Allocations Familiales'!F$11</f>
        <v>162.82999999999998</v>
      </c>
      <c r="AB8" s="5"/>
      <c r="AC8" s="5"/>
      <c r="AD8" s="5"/>
      <c r="AE8" s="5">
        <f t="shared" si="2"/>
        <v>0</v>
      </c>
      <c r="AF8" s="5">
        <f t="shared" si="3"/>
        <v>0</v>
      </c>
      <c r="AG8" s="2">
        <f t="shared" si="4"/>
        <v>0</v>
      </c>
      <c r="AH8" s="2" t="b">
        <f t="shared" si="5"/>
        <v>0</v>
      </c>
      <c r="AI8" s="5">
        <f>IF(AG8=1,+$H$12-AH8,0)</f>
        <v>0</v>
      </c>
      <c r="AJ8" s="5">
        <f>IF(AG8=1,(AE8+AF8)*12,0)</f>
        <v>0</v>
      </c>
      <c r="AK8" s="5">
        <f t="shared" si="7"/>
        <v>0</v>
      </c>
      <c r="AL8" s="27">
        <f>+AL7+'Allocations Familiales'!F$32</f>
        <v>52262</v>
      </c>
      <c r="AM8" s="27">
        <f>+AM7+'Allocations Familiales'!F$33</f>
        <v>61014</v>
      </c>
      <c r="AN8" s="5">
        <f t="shared" ref="AN8:AN13" si="12">AN7</f>
        <v>175.01</v>
      </c>
      <c r="AO8" s="5">
        <f t="shared" si="8"/>
        <v>0</v>
      </c>
      <c r="AP8" s="5">
        <f t="shared" si="9"/>
        <v>0</v>
      </c>
      <c r="AQ8" s="27">
        <f>+AQ7+'Allocations Familiales'!F$28</f>
        <v>26137</v>
      </c>
      <c r="AR8" s="27">
        <f>+AR7+'Allocations Familiales'!F$29</f>
        <v>30513</v>
      </c>
      <c r="AS8" s="5">
        <f t="shared" ref="AS8:AS13" si="13">AS7</f>
        <v>87.519999999999982</v>
      </c>
      <c r="AT8" s="5">
        <f t="shared" si="10"/>
        <v>0</v>
      </c>
      <c r="AU8" s="5">
        <f t="shared" si="11"/>
        <v>0</v>
      </c>
      <c r="AV8" s="5"/>
    </row>
    <row r="9" spans="1:48" ht="23.25" x14ac:dyDescent="0.35">
      <c r="A9" s="28"/>
      <c r="B9" s="28" t="s">
        <v>29</v>
      </c>
      <c r="C9" s="28"/>
      <c r="D9" s="28"/>
      <c r="E9" s="28"/>
      <c r="F9" s="28"/>
      <c r="G9" s="28"/>
      <c r="H9" s="153">
        <v>42000</v>
      </c>
      <c r="I9" s="16"/>
      <c r="J9" s="43">
        <f t="shared" si="0"/>
        <v>1300.01</v>
      </c>
      <c r="K9" s="45">
        <v>1500</v>
      </c>
      <c r="L9" s="39">
        <v>4.4800000000000004</v>
      </c>
      <c r="M9" s="39">
        <v>1.18</v>
      </c>
      <c r="N9" s="39">
        <v>1.48</v>
      </c>
      <c r="O9" s="39">
        <v>1.89</v>
      </c>
      <c r="P9" s="39">
        <v>1.08</v>
      </c>
      <c r="Q9" s="40">
        <v>4.84</v>
      </c>
      <c r="R9" s="41">
        <v>19.440000000000001</v>
      </c>
      <c r="S9" s="41">
        <v>10.61</v>
      </c>
      <c r="T9" s="41">
        <v>14.52</v>
      </c>
      <c r="U9" s="56">
        <v>6</v>
      </c>
      <c r="V9" s="3">
        <f>V8+'Allocations Familiales'!B$7</f>
        <v>93430</v>
      </c>
      <c r="W9" s="3">
        <f>W8+'Allocations Familiales'!D$7</f>
        <v>116755</v>
      </c>
      <c r="X9" s="4" t="str">
        <f t="shared" ref="X9:X13" si="14">CONCATENATE("&gt; ",W9," €")</f>
        <v>&gt; 116755 €</v>
      </c>
      <c r="Y9" s="5">
        <f>Y8+'Allocations Familiales'!B$11</f>
        <v>823.53</v>
      </c>
      <c r="Z9" s="5">
        <f>Z8+'Allocations Familiales'!D$11</f>
        <v>411.78</v>
      </c>
      <c r="AA9" s="5">
        <f>AA8+'Allocations Familiales'!F$11</f>
        <v>205.89999999999998</v>
      </c>
      <c r="AB9" s="5"/>
      <c r="AC9" s="5"/>
      <c r="AD9" s="5"/>
      <c r="AE9" s="5">
        <f t="shared" si="2"/>
        <v>0</v>
      </c>
      <c r="AF9" s="5">
        <f t="shared" si="3"/>
        <v>0</v>
      </c>
      <c r="AG9" s="2">
        <f t="shared" si="4"/>
        <v>0</v>
      </c>
      <c r="AH9" s="2" t="b">
        <f t="shared" si="5"/>
        <v>0</v>
      </c>
      <c r="AI9" s="5">
        <f t="shared" ref="AI9:AI13" si="15">IF(AG9=1,+$H$12-AH9,0)</f>
        <v>0</v>
      </c>
      <c r="AJ9" s="5">
        <f t="shared" ref="AJ9:AJ13" si="16">IF(AG9=1,(AE9+AF9)*12,0)</f>
        <v>0</v>
      </c>
      <c r="AK9" s="5">
        <f t="shared" si="7"/>
        <v>0</v>
      </c>
      <c r="AL9" s="27">
        <f>+AL8+'Allocations Familiales'!F$32</f>
        <v>58795</v>
      </c>
      <c r="AM9" s="27">
        <f>+AM8+'Allocations Familiales'!F$33</f>
        <v>67547</v>
      </c>
      <c r="AN9" s="5">
        <f t="shared" si="12"/>
        <v>175.01</v>
      </c>
      <c r="AO9" s="5">
        <f t="shared" si="8"/>
        <v>0</v>
      </c>
      <c r="AP9" s="5">
        <f t="shared" si="9"/>
        <v>0</v>
      </c>
      <c r="AQ9" s="27">
        <f>+AQ8+'Allocations Familiales'!F$28</f>
        <v>29404</v>
      </c>
      <c r="AR9" s="27">
        <f>+AR8+'Allocations Familiales'!F$29</f>
        <v>33780</v>
      </c>
      <c r="AS9" s="5">
        <f t="shared" si="13"/>
        <v>87.519999999999982</v>
      </c>
      <c r="AT9" s="5">
        <f t="shared" si="10"/>
        <v>0</v>
      </c>
      <c r="AU9" s="5">
        <f t="shared" si="11"/>
        <v>0</v>
      </c>
      <c r="AV9" s="5"/>
    </row>
    <row r="10" spans="1:48" ht="23.25" x14ac:dyDescent="0.35">
      <c r="A10" s="28"/>
      <c r="B10" s="28"/>
      <c r="C10" s="28" t="s">
        <v>32</v>
      </c>
      <c r="D10" s="28"/>
      <c r="E10" s="28"/>
      <c r="F10" s="28"/>
      <c r="G10" s="28"/>
      <c r="H10" s="153"/>
      <c r="I10" s="16"/>
      <c r="J10" s="43">
        <f t="shared" si="0"/>
        <v>1500.01</v>
      </c>
      <c r="K10" s="45">
        <v>1700</v>
      </c>
      <c r="L10" s="39">
        <v>4.8099999999999996</v>
      </c>
      <c r="M10" s="39">
        <v>1.51</v>
      </c>
      <c r="N10" s="39">
        <v>1.59</v>
      </c>
      <c r="O10" s="39">
        <v>2.0299999999999998</v>
      </c>
      <c r="P10" s="39">
        <v>1.1599999999999999</v>
      </c>
      <c r="Q10" s="40">
        <v>5.19</v>
      </c>
      <c r="R10" s="41">
        <v>20.88</v>
      </c>
      <c r="S10" s="41">
        <v>11.39</v>
      </c>
      <c r="T10" s="41">
        <v>15.59</v>
      </c>
      <c r="U10" s="56">
        <v>7</v>
      </c>
      <c r="V10" s="3">
        <f>V9+'Allocations Familiales'!B$7</f>
        <v>99269</v>
      </c>
      <c r="W10" s="3">
        <f>W9+'Allocations Familiales'!D$7</f>
        <v>122594</v>
      </c>
      <c r="X10" s="4" t="str">
        <f t="shared" si="14"/>
        <v>&gt; 122594 €</v>
      </c>
      <c r="Y10" s="5">
        <f>Y9+'Allocations Familiales'!B$11</f>
        <v>995.8</v>
      </c>
      <c r="Z10" s="5">
        <f>Z9+'Allocations Familiales'!D$11</f>
        <v>497.91999999999996</v>
      </c>
      <c r="AA10" s="5">
        <f>AA9+'Allocations Familiales'!F$11</f>
        <v>248.96999999999997</v>
      </c>
      <c r="AB10" s="5"/>
      <c r="AC10" s="5"/>
      <c r="AD10" s="5"/>
      <c r="AE10" s="5">
        <f t="shared" si="2"/>
        <v>0</v>
      </c>
      <c r="AF10" s="5">
        <f t="shared" si="3"/>
        <v>0</v>
      </c>
      <c r="AG10" s="2">
        <f t="shared" si="4"/>
        <v>0</v>
      </c>
      <c r="AH10" s="2" t="b">
        <f t="shared" si="5"/>
        <v>0</v>
      </c>
      <c r="AI10" s="5">
        <f t="shared" si="15"/>
        <v>0</v>
      </c>
      <c r="AJ10" s="5">
        <f t="shared" si="16"/>
        <v>0</v>
      </c>
      <c r="AK10" s="5">
        <f t="shared" si="7"/>
        <v>0</v>
      </c>
      <c r="AL10" s="27">
        <f>+AL9+'Allocations Familiales'!F$32</f>
        <v>65328</v>
      </c>
      <c r="AM10" s="27">
        <f>+AM9+'Allocations Familiales'!F$33</f>
        <v>74080</v>
      </c>
      <c r="AN10" s="5">
        <f t="shared" si="12"/>
        <v>175.01</v>
      </c>
      <c r="AO10" s="5">
        <f t="shared" si="8"/>
        <v>0</v>
      </c>
      <c r="AP10" s="5">
        <f t="shared" si="9"/>
        <v>0</v>
      </c>
      <c r="AQ10" s="27">
        <f>+AQ9+'Allocations Familiales'!F$28</f>
        <v>32671</v>
      </c>
      <c r="AR10" s="27">
        <f>+AR9+'Allocations Familiales'!F$29</f>
        <v>37047</v>
      </c>
      <c r="AS10" s="5">
        <f t="shared" si="13"/>
        <v>87.519999999999982</v>
      </c>
      <c r="AT10" s="5">
        <f t="shared" si="10"/>
        <v>0</v>
      </c>
      <c r="AU10" s="5">
        <f t="shared" si="11"/>
        <v>0</v>
      </c>
      <c r="AV10" s="5"/>
    </row>
    <row r="11" spans="1:48" ht="23.25" x14ac:dyDescent="0.35">
      <c r="A11" s="28"/>
      <c r="B11" s="28"/>
      <c r="C11" s="28" t="s">
        <v>33</v>
      </c>
      <c r="D11" s="28"/>
      <c r="E11" s="28"/>
      <c r="F11" s="28"/>
      <c r="G11" s="28"/>
      <c r="H11" s="153"/>
      <c r="I11" s="16"/>
      <c r="J11" s="43">
        <f t="shared" si="0"/>
        <v>1700.01</v>
      </c>
      <c r="K11" s="45">
        <v>1900</v>
      </c>
      <c r="L11" s="39">
        <v>5.14</v>
      </c>
      <c r="M11" s="39">
        <v>1.84</v>
      </c>
      <c r="N11" s="39">
        <v>1.7</v>
      </c>
      <c r="O11" s="39">
        <v>2.17</v>
      </c>
      <c r="P11" s="39">
        <v>1.24</v>
      </c>
      <c r="Q11" s="40">
        <v>5.55</v>
      </c>
      <c r="R11" s="41">
        <v>22.31</v>
      </c>
      <c r="S11" s="41">
        <v>12.18</v>
      </c>
      <c r="T11" s="41">
        <v>16.66</v>
      </c>
      <c r="U11" s="56">
        <v>8</v>
      </c>
      <c r="V11" s="3">
        <f>V10+'Allocations Familiales'!B$7</f>
        <v>105108</v>
      </c>
      <c r="W11" s="3">
        <f>W10+'Allocations Familiales'!D$7</f>
        <v>128433</v>
      </c>
      <c r="X11" s="4" t="str">
        <f t="shared" si="14"/>
        <v>&gt; 128433 €</v>
      </c>
      <c r="Y11" s="5">
        <f>Y10+'Allocations Familiales'!B$11</f>
        <v>1168.07</v>
      </c>
      <c r="Z11" s="5">
        <f>Z10+'Allocations Familiales'!D$11</f>
        <v>584.05999999999995</v>
      </c>
      <c r="AA11" s="5">
        <f>AA10+'Allocations Familiales'!F$11</f>
        <v>292.03999999999996</v>
      </c>
      <c r="AB11" s="5"/>
      <c r="AC11" s="5"/>
      <c r="AD11" s="5"/>
      <c r="AE11" s="5">
        <f t="shared" si="2"/>
        <v>0</v>
      </c>
      <c r="AF11" s="5">
        <f t="shared" si="3"/>
        <v>0</v>
      </c>
      <c r="AG11" s="2">
        <f t="shared" si="4"/>
        <v>0</v>
      </c>
      <c r="AH11" s="2" t="b">
        <f t="shared" si="5"/>
        <v>0</v>
      </c>
      <c r="AI11" s="5">
        <f t="shared" si="15"/>
        <v>0</v>
      </c>
      <c r="AJ11" s="5">
        <f t="shared" si="16"/>
        <v>0</v>
      </c>
      <c r="AK11" s="5">
        <f t="shared" si="7"/>
        <v>0</v>
      </c>
      <c r="AL11" s="27">
        <f>+AL10+'Allocations Familiales'!F$32</f>
        <v>71861</v>
      </c>
      <c r="AM11" s="27">
        <f>+AM10+'Allocations Familiales'!F$33</f>
        <v>80613</v>
      </c>
      <c r="AN11" s="5">
        <f t="shared" si="12"/>
        <v>175.01</v>
      </c>
      <c r="AO11" s="5">
        <f t="shared" si="8"/>
        <v>0</v>
      </c>
      <c r="AP11" s="5">
        <f t="shared" si="9"/>
        <v>0</v>
      </c>
      <c r="AQ11" s="27">
        <f>+AQ10+'Allocations Familiales'!F$28</f>
        <v>35938</v>
      </c>
      <c r="AR11" s="27">
        <f>+AR10+'Allocations Familiales'!F$29</f>
        <v>40314</v>
      </c>
      <c r="AS11" s="5">
        <f t="shared" si="13"/>
        <v>87.519999999999982</v>
      </c>
      <c r="AT11" s="5">
        <f t="shared" si="10"/>
        <v>0</v>
      </c>
      <c r="AU11" s="5">
        <f t="shared" si="11"/>
        <v>0</v>
      </c>
      <c r="AV11" s="5"/>
    </row>
    <row r="12" spans="1:48" ht="23.25" x14ac:dyDescent="0.35">
      <c r="A12" s="28"/>
      <c r="B12" s="28"/>
      <c r="C12" s="28"/>
      <c r="D12" s="28"/>
      <c r="E12" s="28"/>
      <c r="F12" s="154" t="s">
        <v>127</v>
      </c>
      <c r="G12" s="155"/>
      <c r="H12" s="141">
        <f>SUM(H9:H11)</f>
        <v>42000</v>
      </c>
      <c r="I12" s="16" t="s">
        <v>25</v>
      </c>
      <c r="J12" s="43">
        <f t="shared" si="0"/>
        <v>1900.01</v>
      </c>
      <c r="K12" s="45">
        <v>2100</v>
      </c>
      <c r="L12" s="39">
        <v>5.47</v>
      </c>
      <c r="M12" s="39">
        <v>2.17</v>
      </c>
      <c r="N12" s="39">
        <v>1.8</v>
      </c>
      <c r="O12" s="39">
        <v>2.31</v>
      </c>
      <c r="P12" s="39">
        <v>1.32</v>
      </c>
      <c r="Q12" s="40">
        <v>5.91</v>
      </c>
      <c r="R12" s="41">
        <v>23.74</v>
      </c>
      <c r="S12" s="41">
        <v>12.96</v>
      </c>
      <c r="T12" s="41">
        <v>17.73</v>
      </c>
      <c r="U12" s="56">
        <v>9</v>
      </c>
      <c r="V12" s="3">
        <f>V11+'Allocations Familiales'!B$7</f>
        <v>110947</v>
      </c>
      <c r="W12" s="3">
        <f>W11+'Allocations Familiales'!D$7</f>
        <v>134272</v>
      </c>
      <c r="X12" s="4" t="str">
        <f t="shared" si="14"/>
        <v>&gt; 134272 €</v>
      </c>
      <c r="Y12" s="5">
        <f>Y11+'Allocations Familiales'!B$11</f>
        <v>1340.34</v>
      </c>
      <c r="Z12" s="5">
        <f>Z11+'Allocations Familiales'!D$11</f>
        <v>670.19999999999993</v>
      </c>
      <c r="AA12" s="5">
        <f>AA11+'Allocations Familiales'!F$11</f>
        <v>335.10999999999996</v>
      </c>
      <c r="AB12" s="5"/>
      <c r="AC12" s="5"/>
      <c r="AD12" s="5"/>
      <c r="AE12" s="5">
        <f t="shared" si="2"/>
        <v>0</v>
      </c>
      <c r="AF12" s="5">
        <f t="shared" si="3"/>
        <v>0</v>
      </c>
      <c r="AG12" s="2">
        <f t="shared" si="4"/>
        <v>0</v>
      </c>
      <c r="AH12" s="2" t="b">
        <f t="shared" si="5"/>
        <v>0</v>
      </c>
      <c r="AI12" s="5">
        <f t="shared" si="15"/>
        <v>0</v>
      </c>
      <c r="AJ12" s="5">
        <f t="shared" si="16"/>
        <v>0</v>
      </c>
      <c r="AK12" s="5">
        <f t="shared" si="7"/>
        <v>0</v>
      </c>
      <c r="AL12" s="27">
        <f>+AL11+'Allocations Familiales'!F$32</f>
        <v>78394</v>
      </c>
      <c r="AM12" s="27">
        <f>+AM11+'Allocations Familiales'!F$33</f>
        <v>87146</v>
      </c>
      <c r="AN12" s="5">
        <f t="shared" si="12"/>
        <v>175.01</v>
      </c>
      <c r="AO12" s="5">
        <f t="shared" si="8"/>
        <v>0</v>
      </c>
      <c r="AP12" s="5">
        <f t="shared" si="9"/>
        <v>0</v>
      </c>
      <c r="AQ12" s="27">
        <f>+AQ11+'Allocations Familiales'!F$28</f>
        <v>39205</v>
      </c>
      <c r="AR12" s="27">
        <f>+AR11+'Allocations Familiales'!F$29</f>
        <v>43581</v>
      </c>
      <c r="AS12" s="5">
        <f t="shared" si="13"/>
        <v>87.519999999999982</v>
      </c>
      <c r="AT12" s="5">
        <f t="shared" si="10"/>
        <v>0</v>
      </c>
      <c r="AU12" s="5">
        <f t="shared" si="11"/>
        <v>0</v>
      </c>
      <c r="AV12" s="5"/>
    </row>
    <row r="13" spans="1:48" ht="23.25" x14ac:dyDescent="0.35">
      <c r="B13" s="28"/>
      <c r="C13" s="28"/>
      <c r="D13" s="28"/>
      <c r="E13" s="28"/>
      <c r="F13" s="28"/>
      <c r="G13" s="28"/>
      <c r="H13" s="142"/>
      <c r="I13" s="16"/>
      <c r="J13" s="46">
        <f>K12+0.01</f>
        <v>2100.0100000000002</v>
      </c>
      <c r="K13" s="47">
        <v>999999.99</v>
      </c>
      <c r="L13" s="37">
        <v>5.8</v>
      </c>
      <c r="M13" s="37">
        <v>2.5</v>
      </c>
      <c r="N13" s="37">
        <v>1.91</v>
      </c>
      <c r="O13" s="37">
        <v>2.4500000000000002</v>
      </c>
      <c r="P13" s="37">
        <v>1.4</v>
      </c>
      <c r="Q13" s="38">
        <v>6.26</v>
      </c>
      <c r="R13" s="34">
        <v>25.17</v>
      </c>
      <c r="S13" s="34">
        <v>13.74</v>
      </c>
      <c r="T13" s="34">
        <v>18.8</v>
      </c>
      <c r="U13" s="56">
        <v>10</v>
      </c>
      <c r="V13" s="3">
        <f>V12+'Allocations Familiales'!B$7</f>
        <v>116786</v>
      </c>
      <c r="W13" s="3">
        <f>W12+'Allocations Familiales'!D$7</f>
        <v>140111</v>
      </c>
      <c r="X13" s="4" t="str">
        <f t="shared" si="14"/>
        <v>&gt; 140111 €</v>
      </c>
      <c r="Y13" s="5">
        <f>Y12+'Allocations Familiales'!B$11</f>
        <v>1512.61</v>
      </c>
      <c r="Z13" s="5">
        <f>Z12+'Allocations Familiales'!D$11</f>
        <v>756.33999999999992</v>
      </c>
      <c r="AA13" s="5">
        <f>AA12+'Allocations Familiales'!F$11</f>
        <v>378.17999999999995</v>
      </c>
      <c r="AB13" s="5"/>
      <c r="AC13" s="5"/>
      <c r="AD13" s="5"/>
      <c r="AE13" s="5">
        <f t="shared" si="2"/>
        <v>0</v>
      </c>
      <c r="AF13" s="5">
        <f t="shared" si="3"/>
        <v>0</v>
      </c>
      <c r="AG13" s="2">
        <f t="shared" si="4"/>
        <v>0</v>
      </c>
      <c r="AH13" s="2" t="b">
        <f t="shared" si="5"/>
        <v>0</v>
      </c>
      <c r="AI13" s="5">
        <f t="shared" si="15"/>
        <v>0</v>
      </c>
      <c r="AJ13" s="5">
        <f t="shared" si="16"/>
        <v>0</v>
      </c>
      <c r="AK13" s="5">
        <f>IF($H$12&lt;V13,0,IF(AJ13&gt;AI13,ROUND((AH13+AJ13-$H$12)/12,2),0))</f>
        <v>0</v>
      </c>
      <c r="AL13" s="27">
        <f>+AL12+'Allocations Familiales'!F$32</f>
        <v>84927</v>
      </c>
      <c r="AM13" s="27">
        <f>+AM12+'Allocations Familiales'!F$33</f>
        <v>93679</v>
      </c>
      <c r="AN13" s="5">
        <f t="shared" si="12"/>
        <v>175.01</v>
      </c>
      <c r="AO13" s="5">
        <f t="shared" si="8"/>
        <v>0</v>
      </c>
      <c r="AP13" s="5">
        <f t="shared" si="9"/>
        <v>0</v>
      </c>
      <c r="AQ13" s="27">
        <f>+AQ12+'Allocations Familiales'!F$28</f>
        <v>42472</v>
      </c>
      <c r="AR13" s="27">
        <f>+AR12+'Allocations Familiales'!F$29</f>
        <v>46848</v>
      </c>
      <c r="AS13" s="5">
        <f t="shared" si="13"/>
        <v>87.519999999999982</v>
      </c>
      <c r="AT13" s="5">
        <f t="shared" si="10"/>
        <v>0</v>
      </c>
      <c r="AU13" s="5">
        <f t="shared" si="11"/>
        <v>0</v>
      </c>
      <c r="AV13" s="5"/>
    </row>
    <row r="14" spans="1:48" ht="27" thickBot="1" x14ac:dyDescent="0.4">
      <c r="A14" s="28" t="s">
        <v>95</v>
      </c>
      <c r="B14" s="28"/>
      <c r="C14" s="28"/>
      <c r="D14" s="28"/>
      <c r="E14" s="28"/>
      <c r="F14" s="28"/>
      <c r="G14" s="28"/>
      <c r="H14" s="143"/>
      <c r="I14" s="16"/>
      <c r="R14" s="32"/>
      <c r="S14" s="32"/>
      <c r="T14" s="32"/>
      <c r="AB14" s="57">
        <f>'Allocations Familiales'!B12</f>
        <v>67.23</v>
      </c>
      <c r="AC14" s="57">
        <f>'Allocations Familiales'!D12</f>
        <v>33.619999999999997</v>
      </c>
      <c r="AD14" s="57">
        <f>'Allocations Familiales'!F12</f>
        <v>16.809999999999999</v>
      </c>
      <c r="AK14" s="5"/>
      <c r="AL14" s="5"/>
      <c r="AM14" s="5"/>
      <c r="AN14" s="5"/>
      <c r="AO14" s="6">
        <f>SUM(AO6:AO13)</f>
        <v>0</v>
      </c>
      <c r="AP14" s="6">
        <f>SUM(AP6:AP13)</f>
        <v>0</v>
      </c>
      <c r="AQ14" s="5"/>
      <c r="AR14" s="5"/>
      <c r="AS14" s="5"/>
      <c r="AT14" s="6">
        <f>SUM(AT6:AT13)</f>
        <v>0</v>
      </c>
      <c r="AU14" s="6">
        <f>SUM(AU6:AU13)</f>
        <v>0</v>
      </c>
      <c r="AV14" s="5"/>
    </row>
    <row r="15" spans="1:48" ht="24.75" thickTop="1" thickBot="1" x14ac:dyDescent="0.4">
      <c r="B15" s="28" t="s">
        <v>2</v>
      </c>
      <c r="C15" s="28"/>
      <c r="D15" s="28"/>
      <c r="E15" s="28"/>
      <c r="F15" s="28"/>
      <c r="G15" s="28"/>
      <c r="H15" s="141">
        <f>AE15</f>
        <v>134.46</v>
      </c>
      <c r="I15" s="16"/>
      <c r="AE15" s="6">
        <f t="shared" ref="AE15:AF15" si="17">SUM(AE5:AE13)</f>
        <v>134.46</v>
      </c>
      <c r="AF15" s="6">
        <f t="shared" si="17"/>
        <v>0</v>
      </c>
      <c r="AG15" s="7"/>
      <c r="AH15" s="7"/>
      <c r="AI15" s="7"/>
      <c r="AJ15" s="7"/>
      <c r="AK15" s="6">
        <f>SUM(AK5:AK14)</f>
        <v>0</v>
      </c>
    </row>
    <row r="16" spans="1:48" ht="24" thickTop="1" x14ac:dyDescent="0.35">
      <c r="B16" s="28" t="s">
        <v>10</v>
      </c>
      <c r="C16" s="28"/>
      <c r="D16" s="28"/>
      <c r="E16" s="28"/>
      <c r="F16" s="28"/>
      <c r="G16" s="28"/>
      <c r="H16" s="141">
        <f>AF15</f>
        <v>0</v>
      </c>
      <c r="I16" s="16"/>
    </row>
    <row r="17" spans="1:45" ht="23.25" x14ac:dyDescent="0.35">
      <c r="A17" s="28"/>
      <c r="B17" s="28" t="s">
        <v>9</v>
      </c>
      <c r="C17" s="28"/>
      <c r="D17" s="28"/>
      <c r="E17" s="28"/>
      <c r="F17" s="28"/>
      <c r="G17" s="28"/>
      <c r="H17" s="141">
        <f>AK15</f>
        <v>0</v>
      </c>
      <c r="I17" s="16"/>
      <c r="K17" s="17"/>
      <c r="L17" s="5"/>
      <c r="M17" s="5"/>
      <c r="N17" s="5"/>
      <c r="O17" s="5"/>
      <c r="P17" s="5"/>
      <c r="Q17" s="5"/>
      <c r="R17" s="5"/>
      <c r="S17" s="18"/>
      <c r="T17" s="18"/>
      <c r="U17" s="18"/>
      <c r="V17" s="18"/>
      <c r="W17" s="18"/>
      <c r="X17" s="18"/>
      <c r="Y17" s="18"/>
      <c r="Z17" s="18"/>
      <c r="AA17" s="18"/>
      <c r="AB17" s="18"/>
    </row>
    <row r="18" spans="1:45" ht="23.25" x14ac:dyDescent="0.35">
      <c r="A18" s="28"/>
      <c r="B18" s="28" t="s">
        <v>99</v>
      </c>
      <c r="C18" s="28"/>
      <c r="D18" s="28"/>
      <c r="E18" s="28"/>
      <c r="F18" s="28"/>
      <c r="G18" s="28"/>
      <c r="H18" s="141">
        <f>+AO14+AP14+AT14+AU14</f>
        <v>0</v>
      </c>
      <c r="I18" s="16"/>
      <c r="K18" s="17"/>
      <c r="L18" s="5"/>
      <c r="M18" s="5"/>
      <c r="N18" s="5"/>
      <c r="O18" s="5"/>
      <c r="P18" s="5"/>
      <c r="Q18" s="5"/>
      <c r="R18" s="5"/>
      <c r="S18" s="18"/>
      <c r="T18" s="18"/>
      <c r="U18" s="18"/>
      <c r="V18" s="18"/>
      <c r="W18" s="18"/>
      <c r="X18" s="18"/>
      <c r="Y18" s="18"/>
      <c r="Z18" s="18"/>
      <c r="AA18" s="18"/>
      <c r="AB18" s="18"/>
    </row>
    <row r="19" spans="1:45" ht="23.25" x14ac:dyDescent="0.35">
      <c r="A19" s="28"/>
      <c r="B19" s="28"/>
      <c r="C19" s="28"/>
      <c r="D19" s="28"/>
      <c r="E19" s="28"/>
      <c r="F19" s="28"/>
      <c r="G19" s="28" t="s">
        <v>5</v>
      </c>
      <c r="H19" s="141">
        <f>SUM(H15:H18)</f>
        <v>134.46</v>
      </c>
      <c r="I19" s="16" t="s">
        <v>26</v>
      </c>
      <c r="J19" s="18"/>
      <c r="K19" s="19"/>
      <c r="L19" s="20"/>
      <c r="M19" s="20"/>
      <c r="N19" s="20"/>
      <c r="O19" s="20"/>
      <c r="P19" s="20"/>
      <c r="Q19" s="20"/>
      <c r="R19" s="20"/>
      <c r="S19" s="18"/>
      <c r="T19" s="18"/>
      <c r="U19" s="18"/>
      <c r="V19" s="20"/>
      <c r="W19" s="18"/>
      <c r="X19" s="18"/>
      <c r="Y19" s="18"/>
      <c r="Z19" s="18"/>
      <c r="AA19" s="18"/>
      <c r="AB19" s="18"/>
    </row>
    <row r="20" spans="1:45" ht="31.5" x14ac:dyDescent="0.5">
      <c r="A20" s="28"/>
      <c r="B20" s="28"/>
      <c r="C20" s="28"/>
      <c r="D20" s="28"/>
      <c r="E20" s="28"/>
      <c r="F20" s="28"/>
      <c r="G20" s="28"/>
      <c r="H20" s="144"/>
      <c r="I20" s="15"/>
      <c r="J20" s="18"/>
      <c r="K20" s="19"/>
      <c r="L20" s="18"/>
      <c r="M20" s="18"/>
      <c r="N20" s="18"/>
      <c r="O20" s="50"/>
      <c r="P20" s="18"/>
      <c r="Q20" s="18"/>
      <c r="R20" s="18"/>
      <c r="S20" s="18"/>
      <c r="T20" s="18"/>
      <c r="U20" s="18"/>
      <c r="V20" s="18"/>
      <c r="W20" s="21"/>
      <c r="X20" s="18"/>
      <c r="Y20" s="18"/>
      <c r="Z20" s="18"/>
      <c r="AA20" s="18"/>
      <c r="AB20" s="22"/>
    </row>
    <row r="21" spans="1:45" ht="23.25" x14ac:dyDescent="0.35">
      <c r="A21" s="28" t="s">
        <v>30</v>
      </c>
      <c r="B21" s="28"/>
      <c r="C21" s="28"/>
      <c r="D21" s="28"/>
      <c r="E21" s="28"/>
      <c r="F21" s="28"/>
      <c r="G21" s="28"/>
      <c r="H21" s="145">
        <f>IF(H3&lt;=2,H3*0.5,IF(H3=3,2,((H3-1)*0.5)+1))+2</f>
        <v>3</v>
      </c>
      <c r="I21" s="16" t="s">
        <v>27</v>
      </c>
      <c r="J21" s="18"/>
      <c r="K21" s="19"/>
      <c r="L21" s="20"/>
      <c r="M21" s="20"/>
      <c r="N21" s="20"/>
      <c r="O21" s="50"/>
      <c r="P21" s="20"/>
      <c r="Q21" s="20"/>
      <c r="R21" s="20"/>
      <c r="S21" s="18"/>
      <c r="T21" s="18"/>
      <c r="U21" s="18"/>
      <c r="V21" s="18"/>
      <c r="W21" s="18"/>
      <c r="X21" s="18"/>
      <c r="Y21" s="22"/>
      <c r="Z21" s="22"/>
      <c r="AA21" s="22"/>
      <c r="AB21" s="22"/>
    </row>
    <row r="22" spans="1:45" ht="23.25" x14ac:dyDescent="0.35">
      <c r="A22" s="28"/>
      <c r="B22" s="28"/>
      <c r="C22" s="28"/>
      <c r="D22" s="28"/>
      <c r="E22" s="28"/>
      <c r="F22" s="28"/>
      <c r="G22" s="28"/>
      <c r="H22" s="144"/>
      <c r="I22" s="15"/>
      <c r="J22" s="18"/>
      <c r="K22" s="19"/>
      <c r="L22" s="20"/>
      <c r="M22" s="20"/>
      <c r="N22" s="20"/>
      <c r="O22" s="20"/>
      <c r="P22" s="20"/>
      <c r="Q22" s="20"/>
      <c r="R22" s="20"/>
      <c r="S22" s="18"/>
      <c r="T22" s="18"/>
      <c r="U22" s="18"/>
      <c r="V22" s="18"/>
      <c r="W22" s="18"/>
      <c r="X22" s="18"/>
      <c r="Y22" s="22"/>
      <c r="Z22" s="22"/>
      <c r="AA22" s="22"/>
      <c r="AB22" s="22"/>
      <c r="AS22" s="5"/>
    </row>
    <row r="23" spans="1:45" ht="31.5" x14ac:dyDescent="0.35">
      <c r="A23" s="28" t="s">
        <v>3</v>
      </c>
      <c r="B23" s="28"/>
      <c r="C23" s="28"/>
      <c r="D23" s="28"/>
      <c r="E23" s="28"/>
      <c r="F23" s="30" t="s">
        <v>8</v>
      </c>
      <c r="G23" s="28"/>
      <c r="H23" s="156">
        <f>ROUND(((H12/12)+H19)/H21,2)</f>
        <v>1211.49</v>
      </c>
      <c r="I23" s="15"/>
      <c r="J23" s="18"/>
      <c r="K23" s="19"/>
      <c r="L23" s="20"/>
      <c r="M23" s="20"/>
      <c r="N23" s="20"/>
      <c r="O23" s="20"/>
      <c r="P23" s="20"/>
      <c r="Q23" s="20"/>
      <c r="R23" s="20"/>
      <c r="S23" s="18"/>
      <c r="T23" s="18"/>
      <c r="U23" s="18"/>
      <c r="V23" s="18"/>
      <c r="W23" s="18"/>
      <c r="X23" s="18"/>
      <c r="Y23" s="22"/>
      <c r="Z23" s="22"/>
      <c r="AA23" s="22"/>
      <c r="AB23" s="22"/>
    </row>
    <row r="24" spans="1:45" ht="23.25" x14ac:dyDescent="0.35">
      <c r="A24" s="28"/>
      <c r="B24" s="28"/>
      <c r="C24" s="28"/>
      <c r="D24" s="28"/>
      <c r="E24" s="28"/>
      <c r="F24" s="31" t="s">
        <v>7</v>
      </c>
      <c r="G24" s="28"/>
      <c r="H24" s="144"/>
      <c r="I24" s="15"/>
      <c r="J24" s="18"/>
      <c r="K24" s="24"/>
      <c r="L24" s="18"/>
      <c r="M24" s="18"/>
      <c r="N24" s="18"/>
      <c r="O24" s="18"/>
      <c r="P24" s="18"/>
      <c r="Q24" s="18"/>
      <c r="R24" s="18"/>
      <c r="S24" s="18"/>
      <c r="T24" s="18"/>
      <c r="U24" s="18"/>
      <c r="V24" s="18"/>
      <c r="W24" s="18"/>
      <c r="X24" s="18"/>
      <c r="Y24" s="22"/>
      <c r="Z24" s="22"/>
      <c r="AA24" s="22"/>
      <c r="AB24" s="22"/>
    </row>
    <row r="25" spans="1:45" s="2" customFormat="1" ht="23.25" x14ac:dyDescent="0.35">
      <c r="A25" s="28"/>
      <c r="B25" s="28"/>
      <c r="C25" s="28"/>
      <c r="D25" s="28"/>
      <c r="E25" s="28"/>
      <c r="F25" s="28"/>
      <c r="G25" s="28"/>
      <c r="H25" s="144"/>
      <c r="I25" s="15"/>
      <c r="J25" s="18"/>
      <c r="K25" s="18"/>
      <c r="L25" s="18"/>
      <c r="M25" s="18"/>
      <c r="N25" s="18"/>
      <c r="O25" s="18"/>
      <c r="P25" s="18"/>
      <c r="Q25" s="18"/>
      <c r="R25" s="18"/>
      <c r="S25" s="18"/>
      <c r="T25" s="18"/>
      <c r="U25" s="18"/>
      <c r="V25" s="18"/>
      <c r="W25" s="18"/>
      <c r="X25" s="18"/>
      <c r="Y25" s="22"/>
      <c r="Z25" s="22"/>
      <c r="AA25" s="22"/>
      <c r="AB25" s="22"/>
    </row>
    <row r="26" spans="1:45" s="2" customFormat="1" ht="64.5" x14ac:dyDescent="0.95">
      <c r="A26" s="94" t="s">
        <v>4</v>
      </c>
      <c r="B26" s="94"/>
      <c r="C26" s="94"/>
      <c r="D26" s="94"/>
      <c r="E26" s="94"/>
      <c r="F26" s="94"/>
      <c r="G26" s="95"/>
      <c r="H26" s="146">
        <f>IF(H23&lt;=K3,L3,IF(H23&lt;=K$3,L$3,IF(H23&lt;=K$4,L$4,IF(H23&lt;=K$5,L$5,IF(H23&lt;=K$6,L$6,IF(H23&lt;=K$7,L$7,IF(H23&lt;=K8,L8,IF(H23&lt;=K9,L9,IF(H23&lt;=K10,L10,IF(H23&lt;=K11,L11,IF(H23&lt;=K12,L12,L13)))))))))))</f>
        <v>4.1500000000000004</v>
      </c>
      <c r="I26" s="15"/>
      <c r="J26" s="51" t="s">
        <v>104</v>
      </c>
      <c r="K26" s="52"/>
      <c r="L26" s="52"/>
      <c r="M26" s="52"/>
      <c r="N26" s="52"/>
      <c r="O26" s="52"/>
      <c r="P26" s="53"/>
      <c r="Q26" s="53"/>
      <c r="R26" s="53"/>
      <c r="S26" s="53"/>
      <c r="T26" s="53"/>
      <c r="U26" s="18"/>
      <c r="V26" s="18"/>
      <c r="W26" s="18"/>
      <c r="X26" s="18"/>
      <c r="Y26" s="22"/>
      <c r="Z26" s="22"/>
      <c r="AA26" s="22"/>
      <c r="AB26" s="22"/>
    </row>
    <row r="27" spans="1:45" s="2" customFormat="1" x14ac:dyDescent="0.25">
      <c r="H27" s="49"/>
      <c r="J27" s="18"/>
      <c r="K27" s="18"/>
      <c r="L27" s="18"/>
      <c r="M27" s="18"/>
      <c r="N27" s="18"/>
      <c r="O27" s="18"/>
      <c r="P27" s="18"/>
      <c r="Q27" s="18"/>
      <c r="R27" s="18"/>
      <c r="S27" s="18"/>
      <c r="T27" s="18"/>
      <c r="U27" s="18"/>
      <c r="V27" s="18"/>
      <c r="W27" s="18"/>
      <c r="X27" s="18"/>
      <c r="Y27" s="22"/>
      <c r="Z27" s="22"/>
      <c r="AA27" s="22"/>
      <c r="AB27" s="22"/>
    </row>
    <row r="28" spans="1:45" s="2" customFormat="1" hidden="1" x14ac:dyDescent="0.25">
      <c r="C28" s="18"/>
      <c r="D28" s="18"/>
      <c r="E28" s="18"/>
      <c r="F28" s="18"/>
      <c r="G28" s="18"/>
      <c r="H28" s="147">
        <f>VLOOKUP($H$26,$L$3:$T$13,2)</f>
        <v>0.85</v>
      </c>
      <c r="I28" s="2" t="s">
        <v>51</v>
      </c>
      <c r="J28" s="18"/>
      <c r="K28" s="18"/>
      <c r="L28" s="18"/>
      <c r="M28" s="18"/>
      <c r="N28" s="18"/>
      <c r="O28" s="18"/>
      <c r="P28" s="18"/>
      <c r="Q28" s="18"/>
      <c r="R28" s="18"/>
      <c r="S28" s="18"/>
      <c r="T28" s="18"/>
      <c r="U28" s="18"/>
      <c r="V28" s="18"/>
      <c r="W28" s="18"/>
      <c r="X28" s="18"/>
      <c r="Y28" s="22"/>
      <c r="Z28" s="22"/>
      <c r="AA28" s="22"/>
      <c r="AB28" s="22"/>
    </row>
    <row r="29" spans="1:45" s="2" customFormat="1" hidden="1" x14ac:dyDescent="0.25">
      <c r="C29" s="18"/>
      <c r="D29" s="18"/>
      <c r="E29" s="18"/>
      <c r="F29" s="18"/>
      <c r="G29" s="18"/>
      <c r="H29" s="147">
        <f>VLOOKUP($H$26,$L$3:$T$13,3)</f>
        <v>1.37</v>
      </c>
      <c r="I29" s="2" t="s">
        <v>52</v>
      </c>
      <c r="J29" s="18"/>
      <c r="K29" s="18"/>
      <c r="L29" s="18"/>
      <c r="M29" s="18"/>
      <c r="N29" s="18"/>
      <c r="O29" s="18"/>
      <c r="P29" s="18"/>
      <c r="Q29" s="18"/>
      <c r="R29" s="18"/>
      <c r="S29" s="18"/>
      <c r="T29" s="18"/>
      <c r="U29" s="18"/>
      <c r="V29" s="18"/>
      <c r="W29" s="18"/>
      <c r="X29" s="18"/>
      <c r="Y29" s="22"/>
      <c r="Z29" s="22"/>
      <c r="AA29" s="22"/>
      <c r="AB29" s="22"/>
    </row>
    <row r="30" spans="1:45" s="2" customFormat="1" hidden="1" x14ac:dyDescent="0.25">
      <c r="C30" s="18"/>
      <c r="D30" s="18"/>
      <c r="E30" s="18"/>
      <c r="F30" s="18"/>
      <c r="G30" s="18"/>
      <c r="H30" s="147">
        <f>VLOOKUP($H$26,$L$3:$T$13,4)</f>
        <v>1.75</v>
      </c>
      <c r="I30" s="2" t="s">
        <v>55</v>
      </c>
      <c r="J30" s="18"/>
      <c r="K30" s="18"/>
      <c r="L30" s="18"/>
      <c r="M30" s="18"/>
      <c r="N30" s="18"/>
      <c r="O30" s="18"/>
      <c r="P30" s="18"/>
      <c r="Q30" s="18"/>
      <c r="R30" s="18"/>
      <c r="S30" s="18"/>
      <c r="T30" s="18"/>
      <c r="U30" s="18"/>
      <c r="V30" s="18"/>
      <c r="W30" s="18"/>
      <c r="X30" s="18"/>
      <c r="Y30" s="22"/>
      <c r="Z30" s="22"/>
      <c r="AA30" s="22"/>
      <c r="AB30" s="22"/>
    </row>
    <row r="31" spans="1:45" s="2" customFormat="1" hidden="1" x14ac:dyDescent="0.25">
      <c r="C31" s="18"/>
      <c r="D31" s="18"/>
      <c r="E31" s="18"/>
      <c r="F31" s="18"/>
      <c r="G31" s="18"/>
      <c r="H31" s="147">
        <f>VLOOKUP($H$26,$L$3:$T$13,5)</f>
        <v>1</v>
      </c>
      <c r="I31" s="2" t="s">
        <v>53</v>
      </c>
      <c r="J31" s="18"/>
      <c r="K31" s="18"/>
      <c r="L31" s="18"/>
      <c r="M31" s="18"/>
      <c r="N31" s="18"/>
      <c r="O31" s="18"/>
      <c r="P31" s="18"/>
      <c r="Q31" s="18"/>
      <c r="R31" s="18"/>
      <c r="S31" s="18"/>
      <c r="T31" s="18"/>
      <c r="U31" s="18"/>
      <c r="V31" s="18"/>
      <c r="W31" s="23"/>
      <c r="X31" s="18"/>
      <c r="Y31" s="22"/>
      <c r="Z31" s="22"/>
      <c r="AA31" s="22"/>
      <c r="AB31" s="18"/>
    </row>
    <row r="32" spans="1:45" s="2" customFormat="1" hidden="1" x14ac:dyDescent="0.25">
      <c r="C32" s="18"/>
      <c r="D32" s="18"/>
      <c r="E32" s="18"/>
      <c r="F32" s="18"/>
      <c r="G32" s="18"/>
      <c r="H32" s="147">
        <f>VLOOKUP($H$26,$L$3:$T$13,6)</f>
        <v>4.4800000000000004</v>
      </c>
      <c r="I32" s="2" t="s">
        <v>54</v>
      </c>
      <c r="J32" s="18"/>
      <c r="K32" s="18"/>
      <c r="L32" s="18"/>
      <c r="M32" s="18"/>
      <c r="N32" s="18"/>
      <c r="O32" s="18"/>
      <c r="P32" s="18"/>
      <c r="Q32" s="18"/>
      <c r="R32" s="18"/>
      <c r="S32" s="18"/>
      <c r="T32" s="18"/>
      <c r="U32" s="18"/>
      <c r="V32" s="18"/>
      <c r="W32" s="18"/>
      <c r="X32" s="18"/>
      <c r="Y32" s="18"/>
      <c r="Z32" s="18"/>
      <c r="AA32" s="18"/>
      <c r="AB32" s="18"/>
    </row>
    <row r="33" spans="3:28" s="2" customFormat="1" hidden="1" x14ac:dyDescent="0.25">
      <c r="C33" s="18"/>
      <c r="D33" s="18"/>
      <c r="E33" s="18"/>
      <c r="F33" s="18"/>
      <c r="G33" s="18"/>
      <c r="H33" s="147">
        <f>VLOOKUP($H$26,$L$3:$T$13,7)</f>
        <v>18.010000000000002</v>
      </c>
      <c r="J33" s="18"/>
      <c r="K33" s="18"/>
      <c r="L33" s="18"/>
      <c r="M33" s="18"/>
      <c r="N33" s="18"/>
      <c r="O33" s="18"/>
      <c r="P33" s="18"/>
      <c r="Q33" s="18"/>
      <c r="R33" s="18"/>
      <c r="S33" s="18"/>
      <c r="T33" s="18"/>
      <c r="U33" s="18"/>
      <c r="V33" s="18"/>
      <c r="W33" s="18"/>
      <c r="X33" s="18"/>
      <c r="Y33" s="18"/>
      <c r="Z33" s="18"/>
      <c r="AA33" s="18"/>
      <c r="AB33" s="18"/>
    </row>
    <row r="34" spans="3:28" s="2" customFormat="1" hidden="1" x14ac:dyDescent="0.25">
      <c r="C34" s="18"/>
      <c r="D34" s="18"/>
      <c r="E34" s="18"/>
      <c r="F34" s="18"/>
      <c r="G34" s="18"/>
      <c r="H34" s="147">
        <f>VLOOKUP($H$26,$L$3:$T$13,8)</f>
        <v>9.83</v>
      </c>
      <c r="J34" s="18"/>
      <c r="K34" s="18"/>
      <c r="L34" s="18"/>
      <c r="M34" s="18"/>
      <c r="N34" s="18"/>
      <c r="O34" s="18"/>
      <c r="P34" s="18"/>
      <c r="Q34" s="18"/>
      <c r="R34" s="18"/>
      <c r="S34" s="18"/>
      <c r="T34" s="18"/>
      <c r="U34" s="18"/>
      <c r="V34" s="18"/>
      <c r="W34" s="18"/>
      <c r="X34" s="18"/>
      <c r="Y34" s="18"/>
      <c r="Z34" s="20"/>
      <c r="AA34" s="18"/>
      <c r="AB34" s="18"/>
    </row>
    <row r="35" spans="3:28" s="2" customFormat="1" hidden="1" x14ac:dyDescent="0.25">
      <c r="C35" s="18"/>
      <c r="D35" s="18"/>
      <c r="E35" s="18"/>
      <c r="F35" s="18"/>
      <c r="G35" s="18"/>
      <c r="H35" s="147">
        <f>VLOOKUP($H$26,$L$3:$T$13,9)</f>
        <v>13.45</v>
      </c>
      <c r="J35" s="18"/>
      <c r="K35" s="18"/>
      <c r="L35" s="18"/>
      <c r="M35" s="18"/>
      <c r="N35" s="18"/>
      <c r="O35" s="18"/>
      <c r="P35" s="18"/>
      <c r="Q35" s="18"/>
      <c r="R35" s="18"/>
      <c r="S35" s="18"/>
      <c r="T35" s="18"/>
      <c r="U35" s="18"/>
      <c r="V35" s="18"/>
      <c r="W35" s="18"/>
      <c r="X35" s="18"/>
      <c r="Y35" s="18"/>
      <c r="Z35" s="18"/>
      <c r="AA35" s="18"/>
      <c r="AB35" s="18"/>
    </row>
    <row r="36" spans="3:28" s="2" customFormat="1" hidden="1" x14ac:dyDescent="0.25">
      <c r="C36" s="18"/>
      <c r="D36" s="18"/>
      <c r="E36" s="18"/>
      <c r="F36" s="18"/>
      <c r="G36" s="18"/>
      <c r="H36" s="147"/>
      <c r="J36" s="18"/>
      <c r="K36" s="18"/>
      <c r="L36" s="18"/>
      <c r="M36" s="18"/>
      <c r="N36" s="18"/>
      <c r="O36" s="18"/>
      <c r="P36" s="18"/>
      <c r="Q36" s="18"/>
      <c r="R36" s="18"/>
      <c r="S36" s="18"/>
      <c r="T36" s="18"/>
      <c r="U36" s="18"/>
      <c r="V36" s="18"/>
      <c r="W36" s="18"/>
      <c r="X36" s="18"/>
      <c r="Y36" s="18"/>
      <c r="Z36" s="20"/>
      <c r="AA36" s="18"/>
      <c r="AB36" s="18"/>
    </row>
    <row r="37" spans="3:28" s="2" customFormat="1" hidden="1" x14ac:dyDescent="0.25">
      <c r="C37" s="18"/>
      <c r="D37" s="18"/>
      <c r="E37" s="18"/>
      <c r="F37" s="18"/>
      <c r="G37" s="18"/>
      <c r="H37" s="148">
        <f>IF(H23&lt;300,300,H23)</f>
        <v>1211.49</v>
      </c>
      <c r="J37" s="18"/>
      <c r="K37" s="18"/>
      <c r="L37" s="18"/>
      <c r="M37" s="18"/>
      <c r="N37" s="18"/>
      <c r="O37" s="18"/>
      <c r="P37" s="18"/>
      <c r="Q37" s="18"/>
      <c r="R37" s="18"/>
      <c r="S37" s="18"/>
      <c r="T37" s="18"/>
      <c r="U37" s="18"/>
      <c r="V37" s="18"/>
      <c r="W37" s="18"/>
      <c r="X37" s="18"/>
      <c r="Y37" s="18"/>
      <c r="Z37" s="20"/>
      <c r="AA37" s="18"/>
      <c r="AB37" s="18"/>
    </row>
    <row r="38" spans="3:28" s="2" customFormat="1" hidden="1" x14ac:dyDescent="0.25">
      <c r="C38" s="18"/>
      <c r="D38" s="18"/>
      <c r="E38" s="18"/>
      <c r="F38" s="18"/>
      <c r="G38" s="18"/>
      <c r="H38" s="149">
        <f>INDEX(K3:K13,MATCH(H37,K3:K13)+1-COUNTIF(K3:K13,H37))</f>
        <v>1300</v>
      </c>
      <c r="J38" s="18"/>
      <c r="K38" s="18"/>
      <c r="L38" s="18"/>
      <c r="M38" s="18"/>
      <c r="N38" s="18"/>
      <c r="O38" s="18"/>
      <c r="P38" s="18"/>
      <c r="Q38" s="18"/>
      <c r="R38" s="18"/>
      <c r="S38" s="18"/>
      <c r="T38" s="18"/>
      <c r="U38" s="18"/>
      <c r="V38" s="18"/>
      <c r="W38" s="18"/>
      <c r="X38" s="18"/>
      <c r="Y38" s="18"/>
      <c r="Z38" s="18"/>
      <c r="AA38" s="18"/>
      <c r="AB38" s="18"/>
    </row>
    <row r="39" spans="3:28" s="2" customFormat="1" hidden="1" x14ac:dyDescent="0.25">
      <c r="C39" s="18"/>
      <c r="D39" s="18"/>
      <c r="E39" s="18"/>
      <c r="F39" s="18"/>
      <c r="G39" s="18"/>
      <c r="H39" s="149">
        <f>INDEX(J3:J13,MATCH(H23,J3:J13)-COUNTIF(J3:J13,H23))</f>
        <v>1100.01</v>
      </c>
      <c r="J39" s="18"/>
      <c r="K39" s="18"/>
      <c r="L39" s="18"/>
      <c r="M39" s="18"/>
      <c r="N39" s="18"/>
      <c r="O39" s="18"/>
      <c r="P39" s="18"/>
      <c r="Q39" s="18"/>
      <c r="R39" s="18"/>
      <c r="S39" s="18"/>
      <c r="T39" s="18"/>
      <c r="U39" s="18"/>
      <c r="V39" s="18"/>
      <c r="W39" s="18"/>
      <c r="X39" s="18"/>
      <c r="Y39" s="18"/>
      <c r="Z39" s="18"/>
      <c r="AA39" s="18"/>
      <c r="AB39" s="18"/>
    </row>
    <row r="40" spans="3:28" s="2" customFormat="1" x14ac:dyDescent="0.25">
      <c r="C40" s="18"/>
      <c r="D40" s="18"/>
      <c r="E40" s="18"/>
      <c r="F40" s="18"/>
      <c r="G40" s="18"/>
      <c r="H40" s="148"/>
      <c r="J40" s="18"/>
      <c r="K40" s="18"/>
      <c r="L40" s="18"/>
      <c r="M40" s="18"/>
      <c r="N40" s="18"/>
      <c r="O40" s="18"/>
      <c r="P40" s="18"/>
      <c r="Q40" s="18"/>
      <c r="R40" s="18"/>
      <c r="S40" s="18"/>
      <c r="T40" s="18"/>
      <c r="U40" s="18"/>
      <c r="V40" s="18"/>
      <c r="W40" s="18"/>
      <c r="X40" s="18"/>
      <c r="Y40" s="18"/>
      <c r="Z40" s="18"/>
      <c r="AA40" s="18"/>
      <c r="AB40" s="18"/>
    </row>
    <row r="41" spans="3:28" s="2" customFormat="1" x14ac:dyDescent="0.25">
      <c r="C41" s="18"/>
      <c r="D41" s="18"/>
      <c r="E41" s="18"/>
      <c r="F41" s="18"/>
      <c r="G41" s="18"/>
      <c r="H41" s="148"/>
      <c r="J41" s="18"/>
      <c r="K41" s="18"/>
      <c r="L41" s="18"/>
      <c r="M41" s="18"/>
      <c r="N41" s="18"/>
      <c r="O41" s="18"/>
      <c r="P41" s="18"/>
      <c r="Q41" s="18"/>
      <c r="R41" s="18"/>
      <c r="S41" s="18"/>
      <c r="T41" s="18"/>
      <c r="U41" s="18"/>
      <c r="V41" s="18"/>
      <c r="W41" s="18"/>
      <c r="X41" s="18"/>
      <c r="Y41" s="18"/>
      <c r="Z41" s="18"/>
      <c r="AA41" s="18"/>
      <c r="AB41" s="18"/>
    </row>
    <row r="42" spans="3:28" s="2" customFormat="1" x14ac:dyDescent="0.25">
      <c r="C42" s="18"/>
      <c r="D42" s="18"/>
      <c r="E42" s="18"/>
      <c r="F42" s="18"/>
      <c r="G42" s="18"/>
      <c r="H42" s="148"/>
      <c r="J42" s="18"/>
      <c r="K42" s="18"/>
      <c r="L42" s="18"/>
      <c r="M42" s="18"/>
      <c r="N42" s="18"/>
      <c r="O42" s="18"/>
      <c r="P42" s="18"/>
      <c r="Q42" s="18"/>
      <c r="R42" s="18"/>
      <c r="S42" s="18"/>
      <c r="T42" s="18"/>
      <c r="U42" s="18"/>
      <c r="V42" s="18"/>
      <c r="W42" s="18"/>
      <c r="X42" s="18"/>
      <c r="Y42" s="18"/>
      <c r="Z42" s="18"/>
      <c r="AA42" s="18"/>
      <c r="AB42" s="18"/>
    </row>
    <row r="43" spans="3:28" s="2" customFormat="1" x14ac:dyDescent="0.25">
      <c r="C43" s="18"/>
      <c r="D43" s="18"/>
      <c r="E43" s="18"/>
      <c r="F43" s="18"/>
      <c r="G43" s="18"/>
      <c r="H43" s="148"/>
      <c r="J43" s="18"/>
      <c r="K43" s="18"/>
      <c r="L43" s="18"/>
      <c r="M43" s="18"/>
      <c r="N43" s="18"/>
      <c r="O43" s="18"/>
      <c r="P43" s="18"/>
      <c r="Q43" s="18"/>
      <c r="R43" s="18"/>
      <c r="S43" s="18"/>
      <c r="T43" s="18"/>
      <c r="U43" s="18"/>
      <c r="V43" s="18"/>
      <c r="W43" s="18"/>
      <c r="X43" s="18"/>
      <c r="Y43" s="18"/>
      <c r="Z43" s="18"/>
      <c r="AA43" s="18"/>
      <c r="AB43" s="18"/>
    </row>
    <row r="44" spans="3:28" s="2" customFormat="1" x14ac:dyDescent="0.25">
      <c r="C44" s="18"/>
      <c r="D44" s="18"/>
      <c r="E44" s="18"/>
      <c r="F44" s="18"/>
      <c r="G44" s="18"/>
      <c r="H44" s="148"/>
      <c r="J44" s="18"/>
      <c r="K44" s="18"/>
      <c r="L44" s="18"/>
      <c r="M44" s="18"/>
      <c r="N44" s="18"/>
      <c r="O44" s="18"/>
      <c r="P44" s="18"/>
      <c r="Q44" s="18"/>
      <c r="R44" s="18"/>
      <c r="S44" s="18"/>
      <c r="T44" s="18"/>
      <c r="U44" s="18"/>
      <c r="V44" s="18"/>
      <c r="W44" s="18"/>
      <c r="X44" s="18"/>
      <c r="Y44" s="18"/>
      <c r="Z44" s="18"/>
      <c r="AA44" s="18"/>
      <c r="AB44" s="18"/>
    </row>
    <row r="45" spans="3:28" s="2" customFormat="1" x14ac:dyDescent="0.25">
      <c r="H45" s="148"/>
      <c r="J45" s="18"/>
      <c r="K45" s="18"/>
      <c r="L45" s="18"/>
      <c r="M45" s="18"/>
      <c r="N45" s="18"/>
      <c r="O45" s="18"/>
      <c r="P45" s="18"/>
      <c r="Q45" s="18"/>
      <c r="R45" s="18"/>
      <c r="S45" s="18"/>
      <c r="T45" s="18"/>
      <c r="U45" s="18"/>
      <c r="V45" s="18"/>
      <c r="W45" s="18"/>
      <c r="X45" s="18"/>
      <c r="Y45" s="18"/>
      <c r="Z45" s="18"/>
      <c r="AA45" s="18"/>
      <c r="AB45" s="18"/>
    </row>
    <row r="46" spans="3:28" s="2" customFormat="1" x14ac:dyDescent="0.25">
      <c r="H46" s="148"/>
      <c r="J46" s="18"/>
      <c r="K46" s="18"/>
      <c r="L46" s="18"/>
      <c r="M46" s="18"/>
      <c r="N46" s="18"/>
      <c r="O46" s="18"/>
      <c r="P46" s="18"/>
      <c r="Q46" s="18"/>
      <c r="R46" s="18"/>
      <c r="S46" s="18"/>
      <c r="T46" s="18"/>
      <c r="U46" s="18"/>
      <c r="V46" s="18"/>
      <c r="W46" s="18"/>
      <c r="X46" s="18"/>
      <c r="Y46" s="18"/>
      <c r="Z46" s="18"/>
      <c r="AA46" s="18"/>
      <c r="AB46" s="18"/>
    </row>
    <row r="47" spans="3:28" s="2" customFormat="1" x14ac:dyDescent="0.25">
      <c r="H47" s="148"/>
      <c r="J47" s="18"/>
      <c r="K47" s="18"/>
      <c r="L47" s="18"/>
      <c r="M47" s="18"/>
      <c r="N47" s="18"/>
      <c r="O47" s="18"/>
      <c r="P47" s="18"/>
      <c r="Q47" s="18"/>
      <c r="R47" s="18"/>
      <c r="S47" s="18"/>
      <c r="T47" s="18"/>
      <c r="U47" s="18"/>
      <c r="V47" s="18"/>
      <c r="W47" s="18"/>
      <c r="X47" s="18"/>
      <c r="Y47" s="18"/>
      <c r="Z47" s="18"/>
      <c r="AA47" s="18"/>
      <c r="AB47" s="18"/>
    </row>
    <row r="48" spans="3:28" s="2" customFormat="1" x14ac:dyDescent="0.25">
      <c r="H48" s="49"/>
      <c r="J48" s="18"/>
      <c r="K48" s="18"/>
      <c r="L48" s="18"/>
      <c r="M48" s="18"/>
      <c r="N48" s="18"/>
      <c r="O48" s="18"/>
      <c r="P48" s="18"/>
      <c r="Q48" s="18"/>
      <c r="R48" s="18"/>
    </row>
    <row r="49" spans="6:11" s="2" customFormat="1" x14ac:dyDescent="0.25">
      <c r="H49" s="150"/>
    </row>
    <row r="50" spans="6:11" s="2" customFormat="1" x14ac:dyDescent="0.25">
      <c r="H50" s="49"/>
    </row>
    <row r="51" spans="6:11" s="2" customFormat="1" x14ac:dyDescent="0.25">
      <c r="H51" s="49"/>
    </row>
    <row r="52" spans="6:11" s="2" customFormat="1" x14ac:dyDescent="0.25">
      <c r="H52" s="49"/>
    </row>
    <row r="53" spans="6:11" s="2" customFormat="1" x14ac:dyDescent="0.25">
      <c r="H53" s="49"/>
      <c r="K53" s="5"/>
    </row>
    <row r="54" spans="6:11" s="2" customFormat="1" x14ac:dyDescent="0.25">
      <c r="H54" s="49"/>
      <c r="K54" s="5"/>
    </row>
    <row r="55" spans="6:11" s="2" customFormat="1" x14ac:dyDescent="0.25">
      <c r="H55" s="49"/>
      <c r="K55" s="5"/>
    </row>
    <row r="56" spans="6:11" s="2" customFormat="1" x14ac:dyDescent="0.25">
      <c r="H56" s="49"/>
    </row>
    <row r="57" spans="6:11" s="2" customFormat="1" x14ac:dyDescent="0.25">
      <c r="H57" s="49"/>
    </row>
    <row r="58" spans="6:11" s="2" customFormat="1" x14ac:dyDescent="0.25">
      <c r="H58" s="49"/>
    </row>
    <row r="59" spans="6:11" s="2" customFormat="1" x14ac:dyDescent="0.25">
      <c r="H59" s="49"/>
    </row>
    <row r="60" spans="6:11" s="2" customFormat="1" x14ac:dyDescent="0.25">
      <c r="H60" s="150"/>
    </row>
    <row r="61" spans="6:11" s="2" customFormat="1" x14ac:dyDescent="0.25">
      <c r="F61" s="5"/>
      <c r="H61" s="49"/>
    </row>
    <row r="62" spans="6:11" x14ac:dyDescent="0.25">
      <c r="F62" s="5"/>
      <c r="H62" s="49"/>
    </row>
    <row r="63" spans="6:11" x14ac:dyDescent="0.25">
      <c r="F63" s="5"/>
      <c r="H63" s="49"/>
    </row>
    <row r="64" spans="6:11" x14ac:dyDescent="0.25">
      <c r="H64" s="49"/>
    </row>
    <row r="113" spans="21:23" ht="15.75" thickBot="1" x14ac:dyDescent="0.3"/>
    <row r="114" spans="21:23" ht="27" thickBot="1" x14ac:dyDescent="0.3">
      <c r="U114" s="88" t="s">
        <v>39</v>
      </c>
      <c r="V114" s="89"/>
      <c r="W114" s="90"/>
    </row>
    <row r="115" spans="21:23" ht="53.25" thickBot="1" x14ac:dyDescent="0.3">
      <c r="U115" s="10" t="s">
        <v>46</v>
      </c>
      <c r="V115" s="10" t="s">
        <v>47</v>
      </c>
      <c r="W115" s="10" t="s">
        <v>48</v>
      </c>
    </row>
    <row r="116" spans="21:23" ht="27" thickBot="1" x14ac:dyDescent="0.3">
      <c r="U116" s="13">
        <v>10.85</v>
      </c>
      <c r="V116" s="13">
        <v>5.92</v>
      </c>
      <c r="W116" s="13">
        <v>8.1</v>
      </c>
    </row>
    <row r="117" spans="21:23" ht="27" thickBot="1" x14ac:dyDescent="0.3">
      <c r="U117" s="14">
        <v>12.28</v>
      </c>
      <c r="V117" s="14">
        <v>6.7</v>
      </c>
      <c r="W117" s="14">
        <v>9.17</v>
      </c>
    </row>
    <row r="118" spans="21:23" ht="27" thickBot="1" x14ac:dyDescent="0.3">
      <c r="U118" s="13">
        <v>13.71</v>
      </c>
      <c r="V118" s="13">
        <v>7.49</v>
      </c>
      <c r="W118" s="13">
        <v>10.24</v>
      </c>
    </row>
    <row r="119" spans="21:23" ht="27" thickBot="1" x14ac:dyDescent="0.3">
      <c r="U119" s="14">
        <v>15.15</v>
      </c>
      <c r="V119" s="14">
        <v>8.27</v>
      </c>
      <c r="W119" s="14">
        <v>11.31</v>
      </c>
    </row>
    <row r="120" spans="21:23" ht="27" thickBot="1" x14ac:dyDescent="0.3">
      <c r="U120" s="13">
        <v>16.579999999999998</v>
      </c>
      <c r="V120" s="13">
        <v>9.0500000000000007</v>
      </c>
      <c r="W120" s="13">
        <v>12.38</v>
      </c>
    </row>
    <row r="121" spans="21:23" ht="27" thickBot="1" x14ac:dyDescent="0.3">
      <c r="U121" s="14">
        <v>18.010000000000002</v>
      </c>
      <c r="V121" s="14">
        <v>9.83</v>
      </c>
      <c r="W121" s="14">
        <v>13.45</v>
      </c>
    </row>
    <row r="122" spans="21:23" ht="27" thickBot="1" x14ac:dyDescent="0.3">
      <c r="U122" s="13">
        <v>19.440000000000001</v>
      </c>
      <c r="V122" s="13">
        <v>10.61</v>
      </c>
      <c r="W122" s="13">
        <v>14.52</v>
      </c>
    </row>
    <row r="123" spans="21:23" ht="27" thickBot="1" x14ac:dyDescent="0.3">
      <c r="U123" s="14">
        <v>20.88</v>
      </c>
      <c r="V123" s="14">
        <v>11.39</v>
      </c>
      <c r="W123" s="14">
        <v>15.59</v>
      </c>
    </row>
    <row r="124" spans="21:23" ht="27" thickBot="1" x14ac:dyDescent="0.3">
      <c r="U124" s="13">
        <v>22.31</v>
      </c>
      <c r="V124" s="13">
        <v>12.18</v>
      </c>
      <c r="W124" s="13">
        <v>16.66</v>
      </c>
    </row>
    <row r="125" spans="21:23" ht="27" thickBot="1" x14ac:dyDescent="0.3">
      <c r="U125" s="14">
        <v>23.74</v>
      </c>
      <c r="V125" s="14">
        <v>12.96</v>
      </c>
      <c r="W125" s="14">
        <v>17.73</v>
      </c>
    </row>
    <row r="126" spans="21:23" ht="27" thickBot="1" x14ac:dyDescent="0.3">
      <c r="U126" s="13">
        <v>25.17</v>
      </c>
      <c r="V126" s="13">
        <v>13.74</v>
      </c>
      <c r="W126" s="13">
        <v>18.8</v>
      </c>
    </row>
    <row r="127" spans="21:23" ht="27" thickBot="1" x14ac:dyDescent="0.3">
      <c r="U127" s="14">
        <v>30</v>
      </c>
      <c r="V127" s="14">
        <v>16.75</v>
      </c>
      <c r="W127" s="14">
        <v>22.75</v>
      </c>
    </row>
  </sheetData>
  <sheetProtection algorithmName="SHA-512" hashValue="E0wCRGvSD5q6nfUHMoot956u2ze5C2+/NurVDPtSdrQbwhOjjadaZtp2uDEz3Y5cI4xdhy2vTcRgrgKZXViVRA==" saltValue="N7aa4HZRuCES8vtlLaS59Q==" spinCount="100000" sheet="1" objects="1" scenarios="1" selectLockedCells="1"/>
  <mergeCells count="25">
    <mergeCell ref="A26:G26"/>
    <mergeCell ref="AL2:AM2"/>
    <mergeCell ref="AQ2:AR2"/>
    <mergeCell ref="AL1:AP1"/>
    <mergeCell ref="AQ1:AU1"/>
    <mergeCell ref="AO2:AP2"/>
    <mergeCell ref="AT2:AU2"/>
    <mergeCell ref="AH1:AK1"/>
    <mergeCell ref="R1:T1"/>
    <mergeCell ref="AK2:AK3"/>
    <mergeCell ref="AJ2:AJ3"/>
    <mergeCell ref="AI2:AI3"/>
    <mergeCell ref="AH2:AH3"/>
    <mergeCell ref="F12:G12"/>
    <mergeCell ref="U114:W114"/>
    <mergeCell ref="J1:K1"/>
    <mergeCell ref="V1:X1"/>
    <mergeCell ref="Y1:AA1"/>
    <mergeCell ref="AB1:AD1"/>
    <mergeCell ref="L1:L2"/>
    <mergeCell ref="M1:M2"/>
    <mergeCell ref="N1:N2"/>
    <mergeCell ref="O1:O2"/>
    <mergeCell ref="P1:P2"/>
    <mergeCell ref="Q1:Q2"/>
  </mergeCells>
  <conditionalFormatting sqref="M5">
    <cfRule type="expression" dxfId="16" priority="21">
      <formula>$L$5=$H$26</formula>
    </cfRule>
  </conditionalFormatting>
  <conditionalFormatting sqref="M4">
    <cfRule type="expression" dxfId="15" priority="20">
      <formula>$L$4=$H$26</formula>
    </cfRule>
  </conditionalFormatting>
  <conditionalFormatting sqref="M8:M13">
    <cfRule type="cellIs" dxfId="14" priority="16" operator="equal">
      <formula>$H$28</formula>
    </cfRule>
  </conditionalFormatting>
  <conditionalFormatting sqref="T3:T13">
    <cfRule type="cellIs" dxfId="13" priority="13" operator="equal">
      <formula>$H$35</formula>
    </cfRule>
  </conditionalFormatting>
  <conditionalFormatting sqref="S3:S13">
    <cfRule type="cellIs" dxfId="12" priority="12" operator="equal">
      <formula>$H$34</formula>
    </cfRule>
  </conditionalFormatting>
  <conditionalFormatting sqref="R3:R13">
    <cfRule type="cellIs" dxfId="11" priority="11" operator="equal">
      <formula>$H$33</formula>
    </cfRule>
  </conditionalFormatting>
  <conditionalFormatting sqref="Q3:Q13">
    <cfRule type="cellIs" dxfId="10" priority="10" operator="equal">
      <formula>$H$32</formula>
    </cfRule>
  </conditionalFormatting>
  <conditionalFormatting sqref="P3:P13">
    <cfRule type="cellIs" dxfId="9" priority="9" operator="equal">
      <formula>$H$31</formula>
    </cfRule>
  </conditionalFormatting>
  <conditionalFormatting sqref="O3:O13">
    <cfRule type="cellIs" dxfId="8" priority="8" operator="equal">
      <formula>$H$30</formula>
    </cfRule>
  </conditionalFormatting>
  <conditionalFormatting sqref="N3:N13">
    <cfRule type="cellIs" dxfId="7" priority="7" operator="equal">
      <formula>$H$29</formula>
    </cfRule>
  </conditionalFormatting>
  <conditionalFormatting sqref="L3:L13">
    <cfRule type="cellIs" dxfId="6" priority="6" operator="equal">
      <formula>$H$26</formula>
    </cfRule>
  </conditionalFormatting>
  <conditionalFormatting sqref="K3:K13">
    <cfRule type="cellIs" dxfId="5" priority="5" operator="equal">
      <formula>$H$38</formula>
    </cfRule>
  </conditionalFormatting>
  <conditionalFormatting sqref="J3:J13">
    <cfRule type="cellIs" dxfId="4" priority="4" operator="equal">
      <formula>$H$39</formula>
    </cfRule>
  </conditionalFormatting>
  <conditionalFormatting sqref="M3">
    <cfRule type="expression" dxfId="3" priority="3">
      <formula>$L$3=$H$26</formula>
    </cfRule>
  </conditionalFormatting>
  <conditionalFormatting sqref="M7">
    <cfRule type="expression" dxfId="2" priority="2">
      <formula>$L$7=$H$26</formula>
    </cfRule>
  </conditionalFormatting>
  <conditionalFormatting sqref="M6">
    <cfRule type="expression" dxfId="1" priority="1">
      <formula>$L$6=$H$26</formula>
    </cfRule>
  </conditionalFormatting>
  <dataValidations xWindow="386" yWindow="426" count="5">
    <dataValidation type="list" showInputMessage="1" showErrorMessage="1" errorTitle="Entrée non valide" error="Sélectionnez le nombre de parents dans la liste" promptTitle="Parents" prompt="Sélectionnez le nombre de parents de la famille (monoparentale ou pas)" sqref="H1:H2">
      <formula1>#REF!</formula1>
    </dataValidation>
    <dataValidation type="list" allowBlank="1" showInputMessage="1" showErrorMessage="1" errorTitle="Entrée non valide" error="Sélectionnez le nombre d'enfants dans la liste" promptTitle="Enfants" prompt="Sélectionnez le nombre d'enfants bénéficiaires d'allocations familiales" sqref="H3">
      <formula1>$U$4:$U$13</formula1>
    </dataValidation>
    <dataValidation type="list" allowBlank="1" showInputMessage="1" showErrorMessage="1" errorTitle="Entrée non valide" error="Sélectionnez le nombre d'enfants dans la liste" promptTitle="Enfants" prompt="Sélectionnez le nombre d'enfants bénéficiaires d'allocations familiales de plus de 14 ans, sauf l'aîné de 2 enfants" sqref="H5">
      <formula1>$U$3:$U$13</formula1>
    </dataValidation>
    <dataValidation type="list" allowBlank="1" showInputMessage="1" showErrorMessage="1" errorTitle="Entrée non valide" error="Sélectionnez le nombre d'enfants dans la liste" promptTitle="Enfants" prompt="Sélectionnez le nombre d'enfants de moins de 3 ans" sqref="H4">
      <formula1>$U$3:$U$13</formula1>
    </dataValidation>
    <dataValidation type="list" allowBlank="1" showInputMessage="1" showErrorMessage="1" promptTitle="Nombre de revenus" prompt="Sélectionnez le nombre de revenus du couple" sqref="H8">
      <formula1>$U$4:$U$5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zoomScaleNormal="100" workbookViewId="0">
      <selection activeCell="B30" sqref="B30:H30"/>
    </sheetView>
  </sheetViews>
  <sheetFormatPr baseColWidth="10" defaultRowHeight="15" x14ac:dyDescent="0.25"/>
  <cols>
    <col min="1" max="11" width="21.140625" customWidth="1"/>
  </cols>
  <sheetData>
    <row r="1" spans="1:11" ht="26.25" x14ac:dyDescent="0.4">
      <c r="A1" s="101" t="s">
        <v>50</v>
      </c>
      <c r="B1" s="101"/>
      <c r="C1" s="101"/>
      <c r="D1" s="101"/>
      <c r="E1" s="101"/>
      <c r="F1" s="101"/>
      <c r="G1" s="101"/>
      <c r="H1" s="101"/>
      <c r="I1" s="101"/>
      <c r="J1" s="101"/>
      <c r="K1" s="101"/>
    </row>
    <row r="2" spans="1:11" ht="15.75" thickBot="1" x14ac:dyDescent="0.3">
      <c r="A2" s="2"/>
      <c r="B2" s="2"/>
      <c r="C2" s="2"/>
      <c r="D2" s="2"/>
      <c r="E2" s="2"/>
      <c r="F2" s="2"/>
      <c r="G2" s="2"/>
      <c r="H2" s="2"/>
      <c r="I2" s="2"/>
      <c r="J2" s="2"/>
      <c r="K2" s="2"/>
    </row>
    <row r="3" spans="1:11" ht="27" thickBot="1" x14ac:dyDescent="0.3">
      <c r="A3" s="111" t="s">
        <v>34</v>
      </c>
      <c r="B3" s="90"/>
      <c r="C3" s="8" t="s">
        <v>35</v>
      </c>
      <c r="D3" s="88" t="s">
        <v>37</v>
      </c>
      <c r="E3" s="90"/>
      <c r="F3" s="112" t="s">
        <v>38</v>
      </c>
      <c r="G3" s="88" t="s">
        <v>39</v>
      </c>
      <c r="H3" s="89"/>
      <c r="I3" s="90"/>
      <c r="J3" s="112" t="s">
        <v>40</v>
      </c>
      <c r="K3" s="114" t="s">
        <v>41</v>
      </c>
    </row>
    <row r="4" spans="1:11" ht="53.25" thickBot="1" x14ac:dyDescent="0.3">
      <c r="A4" s="9" t="s">
        <v>42</v>
      </c>
      <c r="B4" s="10" t="s">
        <v>43</v>
      </c>
      <c r="C4" s="10" t="s">
        <v>36</v>
      </c>
      <c r="D4" s="11" t="s">
        <v>44</v>
      </c>
      <c r="E4" s="10" t="s">
        <v>45</v>
      </c>
      <c r="F4" s="113"/>
      <c r="G4" s="10" t="s">
        <v>46</v>
      </c>
      <c r="H4" s="10" t="s">
        <v>47</v>
      </c>
      <c r="I4" s="10" t="s">
        <v>48</v>
      </c>
      <c r="J4" s="113"/>
      <c r="K4" s="115"/>
    </row>
    <row r="5" spans="1:11" ht="27" thickBot="1" x14ac:dyDescent="0.3">
      <c r="A5" s="12">
        <v>0</v>
      </c>
      <c r="B5" s="84">
        <v>300</v>
      </c>
      <c r="C5" s="13">
        <v>0.82</v>
      </c>
      <c r="D5" s="13">
        <v>1.06</v>
      </c>
      <c r="E5" s="13">
        <v>0.6</v>
      </c>
      <c r="F5" s="13">
        <v>2.7</v>
      </c>
      <c r="G5" s="13">
        <v>10.85</v>
      </c>
      <c r="H5" s="13">
        <v>5.92</v>
      </c>
      <c r="I5" s="13">
        <v>8.1</v>
      </c>
      <c r="J5" s="13">
        <v>2.5</v>
      </c>
      <c r="K5" s="13">
        <v>0.7</v>
      </c>
    </row>
    <row r="6" spans="1:11" ht="27" thickBot="1" x14ac:dyDescent="0.3">
      <c r="A6" s="86">
        <f>B5+0.01</f>
        <v>300.01</v>
      </c>
      <c r="B6" s="85">
        <v>500</v>
      </c>
      <c r="C6" s="14">
        <v>0.93</v>
      </c>
      <c r="D6" s="14">
        <v>1.19</v>
      </c>
      <c r="E6" s="14">
        <v>0.68</v>
      </c>
      <c r="F6" s="14">
        <v>3.06</v>
      </c>
      <c r="G6" s="14">
        <v>12.28</v>
      </c>
      <c r="H6" s="14">
        <v>6.7</v>
      </c>
      <c r="I6" s="14">
        <v>9.17</v>
      </c>
      <c r="J6" s="14">
        <v>2.83</v>
      </c>
      <c r="K6" s="14">
        <v>0.7</v>
      </c>
    </row>
    <row r="7" spans="1:11" ht="27" thickBot="1" x14ac:dyDescent="0.3">
      <c r="A7" s="87">
        <f t="shared" ref="A7:A15" si="0">B6+0.01</f>
        <v>500.01</v>
      </c>
      <c r="B7" s="84">
        <v>700</v>
      </c>
      <c r="C7" s="13">
        <v>1.04</v>
      </c>
      <c r="D7" s="13">
        <v>1.33</v>
      </c>
      <c r="E7" s="13">
        <v>0.76</v>
      </c>
      <c r="F7" s="13">
        <v>3.41</v>
      </c>
      <c r="G7" s="13">
        <v>13.71</v>
      </c>
      <c r="H7" s="13">
        <v>7.49</v>
      </c>
      <c r="I7" s="13">
        <v>10.24</v>
      </c>
      <c r="J7" s="13">
        <v>3.16</v>
      </c>
      <c r="K7" s="13">
        <v>0.7</v>
      </c>
    </row>
    <row r="8" spans="1:11" ht="27" thickBot="1" x14ac:dyDescent="0.3">
      <c r="A8" s="86">
        <f t="shared" si="0"/>
        <v>700.01</v>
      </c>
      <c r="B8" s="85">
        <v>900</v>
      </c>
      <c r="C8" s="14">
        <v>1.1499999999999999</v>
      </c>
      <c r="D8" s="14">
        <v>1.47</v>
      </c>
      <c r="E8" s="14">
        <v>0.84</v>
      </c>
      <c r="F8" s="14">
        <v>3.77</v>
      </c>
      <c r="G8" s="14">
        <v>15.15</v>
      </c>
      <c r="H8" s="14">
        <v>8.27</v>
      </c>
      <c r="I8" s="14">
        <v>11.31</v>
      </c>
      <c r="J8" s="14">
        <v>3.49</v>
      </c>
      <c r="K8" s="14">
        <v>0.7</v>
      </c>
    </row>
    <row r="9" spans="1:11" ht="27" thickBot="1" x14ac:dyDescent="0.3">
      <c r="A9" s="87">
        <f t="shared" si="0"/>
        <v>900.01</v>
      </c>
      <c r="B9" s="84">
        <v>1100</v>
      </c>
      <c r="C9" s="13">
        <v>1.26</v>
      </c>
      <c r="D9" s="13">
        <v>1.61</v>
      </c>
      <c r="E9" s="13">
        <v>0.92</v>
      </c>
      <c r="F9" s="13">
        <v>4.13</v>
      </c>
      <c r="G9" s="13">
        <v>16.579999999999998</v>
      </c>
      <c r="H9" s="13">
        <v>9.0500000000000007</v>
      </c>
      <c r="I9" s="13">
        <v>12.38</v>
      </c>
      <c r="J9" s="13">
        <v>3.82</v>
      </c>
      <c r="K9" s="13">
        <v>0.7</v>
      </c>
    </row>
    <row r="10" spans="1:11" ht="27" thickBot="1" x14ac:dyDescent="0.3">
      <c r="A10" s="86">
        <f t="shared" si="0"/>
        <v>1100.01</v>
      </c>
      <c r="B10" s="85">
        <v>1300</v>
      </c>
      <c r="C10" s="14">
        <v>1.37</v>
      </c>
      <c r="D10" s="14">
        <v>1.75</v>
      </c>
      <c r="E10" s="14">
        <v>1</v>
      </c>
      <c r="F10" s="14">
        <v>4.4800000000000004</v>
      </c>
      <c r="G10" s="14">
        <v>18.010000000000002</v>
      </c>
      <c r="H10" s="14">
        <v>9.83</v>
      </c>
      <c r="I10" s="14">
        <v>13.45</v>
      </c>
      <c r="J10" s="14">
        <v>4.1500000000000004</v>
      </c>
      <c r="K10" s="14">
        <v>0.85</v>
      </c>
    </row>
    <row r="11" spans="1:11" ht="27" thickBot="1" x14ac:dyDescent="0.3">
      <c r="A11" s="87">
        <f t="shared" si="0"/>
        <v>1300.01</v>
      </c>
      <c r="B11" s="84">
        <v>1500</v>
      </c>
      <c r="C11" s="13">
        <v>1.48</v>
      </c>
      <c r="D11" s="13">
        <v>1.89</v>
      </c>
      <c r="E11" s="13">
        <v>1.08</v>
      </c>
      <c r="F11" s="13">
        <v>4.84</v>
      </c>
      <c r="G11" s="13">
        <v>19.440000000000001</v>
      </c>
      <c r="H11" s="13">
        <v>10.61</v>
      </c>
      <c r="I11" s="13">
        <v>14.52</v>
      </c>
      <c r="J11" s="13">
        <v>4.4800000000000004</v>
      </c>
      <c r="K11" s="13">
        <v>1.18</v>
      </c>
    </row>
    <row r="12" spans="1:11" ht="27" thickBot="1" x14ac:dyDescent="0.3">
      <c r="A12" s="86">
        <f t="shared" si="0"/>
        <v>1500.01</v>
      </c>
      <c r="B12" s="85">
        <v>1700</v>
      </c>
      <c r="C12" s="14">
        <v>1.59</v>
      </c>
      <c r="D12" s="14">
        <v>2.0299999999999998</v>
      </c>
      <c r="E12" s="14">
        <v>1.1599999999999999</v>
      </c>
      <c r="F12" s="14">
        <v>5.19</v>
      </c>
      <c r="G12" s="14">
        <v>20.88</v>
      </c>
      <c r="H12" s="14">
        <v>11.39</v>
      </c>
      <c r="I12" s="14">
        <v>15.59</v>
      </c>
      <c r="J12" s="14">
        <v>4.8099999999999996</v>
      </c>
      <c r="K12" s="14">
        <v>1.51</v>
      </c>
    </row>
    <row r="13" spans="1:11" ht="27" thickBot="1" x14ac:dyDescent="0.3">
      <c r="A13" s="87">
        <f t="shared" si="0"/>
        <v>1700.01</v>
      </c>
      <c r="B13" s="84">
        <v>1900</v>
      </c>
      <c r="C13" s="13">
        <v>1.7</v>
      </c>
      <c r="D13" s="13">
        <v>2.17</v>
      </c>
      <c r="E13" s="13">
        <v>1.24</v>
      </c>
      <c r="F13" s="13">
        <v>5.55</v>
      </c>
      <c r="G13" s="13">
        <v>22.31</v>
      </c>
      <c r="H13" s="13">
        <v>12.18</v>
      </c>
      <c r="I13" s="13">
        <v>16.66</v>
      </c>
      <c r="J13" s="13">
        <v>5.14</v>
      </c>
      <c r="K13" s="13">
        <v>1.84</v>
      </c>
    </row>
    <row r="14" spans="1:11" ht="27" thickBot="1" x14ac:dyDescent="0.3">
      <c r="A14" s="86">
        <f t="shared" si="0"/>
        <v>1900.01</v>
      </c>
      <c r="B14" s="85">
        <v>2100</v>
      </c>
      <c r="C14" s="14">
        <v>1.8</v>
      </c>
      <c r="D14" s="14">
        <v>2.31</v>
      </c>
      <c r="E14" s="14">
        <v>1.32</v>
      </c>
      <c r="F14" s="14">
        <v>5.91</v>
      </c>
      <c r="G14" s="14">
        <v>23.74</v>
      </c>
      <c r="H14" s="14">
        <v>12.96</v>
      </c>
      <c r="I14" s="14">
        <v>17.73</v>
      </c>
      <c r="J14" s="14">
        <v>5.47</v>
      </c>
      <c r="K14" s="14">
        <v>2.17</v>
      </c>
    </row>
    <row r="15" spans="1:11" ht="27" thickBot="1" x14ac:dyDescent="0.3">
      <c r="A15" s="87">
        <f t="shared" si="0"/>
        <v>2100.0100000000002</v>
      </c>
      <c r="B15" s="84">
        <v>999999.99</v>
      </c>
      <c r="C15" s="13">
        <v>1.91</v>
      </c>
      <c r="D15" s="13">
        <v>2.4500000000000002</v>
      </c>
      <c r="E15" s="13">
        <v>1.4</v>
      </c>
      <c r="F15" s="13">
        <v>6.26</v>
      </c>
      <c r="G15" s="13">
        <v>25.17</v>
      </c>
      <c r="H15" s="13">
        <v>13.74</v>
      </c>
      <c r="I15" s="13">
        <v>18.8</v>
      </c>
      <c r="J15" s="13">
        <v>5.8</v>
      </c>
      <c r="K15" s="13">
        <v>2.5</v>
      </c>
    </row>
    <row r="16" spans="1:11" ht="27" thickBot="1" x14ac:dyDescent="0.3">
      <c r="A16" s="109" t="s">
        <v>49</v>
      </c>
      <c r="B16" s="110"/>
      <c r="C16" s="14">
        <v>2.5</v>
      </c>
      <c r="D16" s="14">
        <v>3.2</v>
      </c>
      <c r="E16" s="14">
        <v>1.8</v>
      </c>
      <c r="F16" s="14">
        <v>8.25</v>
      </c>
      <c r="G16" s="14">
        <v>30</v>
      </c>
      <c r="H16" s="14">
        <v>16.75</v>
      </c>
      <c r="I16" s="14">
        <v>22.75</v>
      </c>
      <c r="J16" s="14">
        <v>7</v>
      </c>
      <c r="K16" s="14">
        <v>3.7</v>
      </c>
    </row>
    <row r="17" spans="1:11" x14ac:dyDescent="0.25">
      <c r="A17" s="2"/>
      <c r="B17" s="2"/>
      <c r="C17" s="2"/>
      <c r="D17" s="2"/>
      <c r="E17" s="2"/>
      <c r="F17" s="2"/>
      <c r="G17" s="2"/>
      <c r="H17" s="2"/>
      <c r="I17" s="2"/>
      <c r="J17" s="2"/>
      <c r="K17" s="2"/>
    </row>
    <row r="18" spans="1:11" x14ac:dyDescent="0.25">
      <c r="A18" s="2"/>
      <c r="B18" s="2"/>
      <c r="C18" s="2"/>
      <c r="D18" s="2"/>
      <c r="E18" s="2"/>
      <c r="F18" s="2"/>
      <c r="G18" s="2"/>
      <c r="H18" s="2"/>
      <c r="I18" s="2"/>
      <c r="J18" s="2"/>
      <c r="K18" s="2"/>
    </row>
    <row r="19" spans="1:11" x14ac:dyDescent="0.25">
      <c r="A19" s="2"/>
      <c r="B19" s="2"/>
      <c r="C19" s="2"/>
      <c r="D19" s="2"/>
      <c r="E19" s="2"/>
      <c r="F19" s="2"/>
      <c r="G19" s="2"/>
      <c r="H19" s="2"/>
      <c r="I19" s="2"/>
      <c r="J19" s="2"/>
      <c r="K19" s="2"/>
    </row>
    <row r="20" spans="1:11" x14ac:dyDescent="0.25">
      <c r="A20" s="2"/>
      <c r="B20" s="2"/>
      <c r="C20" s="2"/>
      <c r="D20" s="2"/>
      <c r="E20" s="2"/>
      <c r="F20" s="2"/>
      <c r="G20" s="2"/>
      <c r="H20" s="2"/>
      <c r="I20" s="2"/>
      <c r="J20" s="2"/>
      <c r="K20" s="2"/>
    </row>
    <row r="21" spans="1:11" x14ac:dyDescent="0.25">
      <c r="A21" s="2"/>
      <c r="B21" s="2"/>
      <c r="C21" s="2"/>
      <c r="D21" s="2"/>
      <c r="E21" s="2"/>
      <c r="F21" s="2"/>
      <c r="G21" s="2"/>
      <c r="H21" s="2"/>
      <c r="I21" s="2"/>
      <c r="J21" s="2"/>
      <c r="K21" s="2"/>
    </row>
    <row r="22" spans="1:11" ht="26.25" x14ac:dyDescent="0.4">
      <c r="A22" s="101" t="s">
        <v>94</v>
      </c>
      <c r="B22" s="101"/>
      <c r="C22" s="101"/>
      <c r="D22" s="101"/>
      <c r="E22" s="101"/>
      <c r="F22" s="101"/>
      <c r="G22" s="101"/>
      <c r="H22" s="101"/>
      <c r="I22" s="2"/>
      <c r="J22" s="2"/>
      <c r="K22" s="2"/>
    </row>
    <row r="23" spans="1:11" ht="15.75" thickBot="1" x14ac:dyDescent="0.3">
      <c r="A23" s="2"/>
      <c r="B23" s="2"/>
      <c r="C23" s="2"/>
      <c r="D23" s="2"/>
      <c r="E23" s="2"/>
      <c r="F23" s="2"/>
      <c r="G23" s="2"/>
      <c r="H23" s="2"/>
      <c r="I23" s="2"/>
      <c r="J23" s="2"/>
      <c r="K23" s="2"/>
    </row>
    <row r="24" spans="1:11" ht="47.25" thickBot="1" x14ac:dyDescent="0.3">
      <c r="A24" s="80" t="s">
        <v>73</v>
      </c>
      <c r="B24" s="80" t="s">
        <v>74</v>
      </c>
      <c r="C24" s="80" t="s">
        <v>75</v>
      </c>
      <c r="D24" s="80" t="s">
        <v>76</v>
      </c>
      <c r="E24" s="80" t="s">
        <v>77</v>
      </c>
      <c r="F24" s="80" t="s">
        <v>78</v>
      </c>
      <c r="G24" s="80" t="s">
        <v>79</v>
      </c>
      <c r="H24" s="80" t="s">
        <v>41</v>
      </c>
      <c r="I24" s="2"/>
      <c r="J24" s="2"/>
      <c r="K24" s="2"/>
    </row>
    <row r="25" spans="1:11" ht="24" thickBot="1" x14ac:dyDescent="0.3">
      <c r="A25" s="81" t="s">
        <v>80</v>
      </c>
      <c r="B25" s="82">
        <v>4.88</v>
      </c>
      <c r="C25" s="82">
        <v>4.55</v>
      </c>
      <c r="D25" s="82">
        <v>4.22</v>
      </c>
      <c r="E25" s="82">
        <v>3.92</v>
      </c>
      <c r="F25" s="82">
        <v>6.28</v>
      </c>
      <c r="G25" s="82">
        <v>5.83</v>
      </c>
      <c r="H25" s="82">
        <v>1.03</v>
      </c>
      <c r="I25" s="2"/>
      <c r="J25" s="2"/>
      <c r="K25" s="2"/>
    </row>
    <row r="26" spans="1:11" ht="24.75" customHeight="1" thickBot="1" x14ac:dyDescent="0.3">
      <c r="A26" s="102" t="s">
        <v>81</v>
      </c>
      <c r="B26" s="103" t="s">
        <v>82</v>
      </c>
      <c r="C26" s="103"/>
      <c r="D26" s="103"/>
      <c r="E26" s="103"/>
      <c r="F26" s="103"/>
      <c r="G26" s="103"/>
      <c r="H26" s="103"/>
      <c r="I26" s="2"/>
      <c r="J26" s="2"/>
      <c r="K26" s="2"/>
    </row>
    <row r="27" spans="1:11" ht="21.75" thickBot="1" x14ac:dyDescent="0.3">
      <c r="A27" s="102"/>
      <c r="B27" s="104" t="s">
        <v>83</v>
      </c>
      <c r="C27" s="104"/>
      <c r="D27" s="104"/>
      <c r="E27" s="104"/>
      <c r="F27" s="104"/>
      <c r="G27" s="104"/>
      <c r="H27" s="104"/>
      <c r="I27" s="2"/>
      <c r="J27" s="2"/>
      <c r="K27" s="2"/>
    </row>
    <row r="28" spans="1:11" ht="21" customHeight="1" thickBot="1" x14ac:dyDescent="0.3">
      <c r="A28" s="105" t="s">
        <v>37</v>
      </c>
      <c r="B28" s="106" t="s">
        <v>84</v>
      </c>
      <c r="C28" s="106"/>
      <c r="D28" s="106"/>
      <c r="E28" s="106"/>
      <c r="F28" s="106"/>
      <c r="G28" s="106"/>
      <c r="H28" s="106"/>
      <c r="I28" s="2"/>
      <c r="J28" s="2"/>
      <c r="K28" s="2"/>
    </row>
    <row r="29" spans="1:11" ht="21" customHeight="1" thickBot="1" x14ac:dyDescent="0.3">
      <c r="A29" s="105"/>
      <c r="B29" s="107" t="s">
        <v>85</v>
      </c>
      <c r="C29" s="107"/>
      <c r="D29" s="107"/>
      <c r="E29" s="107"/>
      <c r="F29" s="107"/>
      <c r="G29" s="107"/>
      <c r="H29" s="107"/>
      <c r="I29" s="2"/>
      <c r="J29" s="2"/>
      <c r="K29" s="2"/>
    </row>
    <row r="30" spans="1:11" ht="21" customHeight="1" thickBot="1" x14ac:dyDescent="0.3">
      <c r="A30" s="105"/>
      <c r="B30" s="107" t="s">
        <v>86</v>
      </c>
      <c r="C30" s="107"/>
      <c r="D30" s="107"/>
      <c r="E30" s="107"/>
      <c r="F30" s="107"/>
      <c r="G30" s="107"/>
      <c r="H30" s="107"/>
      <c r="I30" s="2"/>
      <c r="J30" s="2"/>
      <c r="K30" s="2"/>
    </row>
    <row r="31" spans="1:11" ht="63" customHeight="1" thickBot="1" x14ac:dyDescent="0.3">
      <c r="A31" s="105"/>
      <c r="B31" s="106" t="s">
        <v>87</v>
      </c>
      <c r="C31" s="106"/>
      <c r="D31" s="106"/>
      <c r="E31" s="106"/>
      <c r="F31" s="106"/>
      <c r="G31" s="106"/>
      <c r="H31" s="106"/>
      <c r="I31" s="2"/>
      <c r="J31" s="2"/>
      <c r="K31" s="2"/>
    </row>
    <row r="32" spans="1:11" ht="63" customHeight="1" thickBot="1" x14ac:dyDescent="0.3">
      <c r="A32" s="105"/>
      <c r="B32" s="108" t="s">
        <v>88</v>
      </c>
      <c r="C32" s="108"/>
      <c r="D32" s="108"/>
      <c r="E32" s="108"/>
      <c r="F32" s="108"/>
      <c r="G32" s="108"/>
      <c r="H32" s="108"/>
      <c r="I32" s="2"/>
      <c r="J32" s="2"/>
      <c r="K32" s="2"/>
    </row>
    <row r="33" spans="1:11" ht="21.75" thickBot="1" x14ac:dyDescent="0.3">
      <c r="A33" s="105"/>
      <c r="B33" s="108" t="s">
        <v>89</v>
      </c>
      <c r="C33" s="108"/>
      <c r="D33" s="108"/>
      <c r="E33" s="108"/>
      <c r="F33" s="108"/>
      <c r="G33" s="108"/>
      <c r="H33" s="108"/>
      <c r="I33" s="2"/>
      <c r="J33" s="2"/>
      <c r="K33" s="2"/>
    </row>
    <row r="34" spans="1:11" ht="63" customHeight="1" thickBot="1" x14ac:dyDescent="0.3">
      <c r="A34" s="83" t="s">
        <v>90</v>
      </c>
      <c r="B34" s="98" t="s">
        <v>91</v>
      </c>
      <c r="C34" s="98"/>
      <c r="D34" s="98"/>
      <c r="E34" s="98"/>
      <c r="F34" s="98"/>
      <c r="G34" s="98"/>
      <c r="H34" s="98"/>
      <c r="I34" s="2"/>
      <c r="J34" s="2"/>
      <c r="K34" s="2"/>
    </row>
    <row r="35" spans="1:11" ht="24.75" customHeight="1" thickBot="1" x14ac:dyDescent="0.3">
      <c r="A35" s="99" t="s">
        <v>39</v>
      </c>
      <c r="B35" s="100" t="s">
        <v>92</v>
      </c>
      <c r="C35" s="100"/>
      <c r="D35" s="100"/>
      <c r="E35" s="100"/>
      <c r="F35" s="100"/>
      <c r="G35" s="100"/>
      <c r="H35" s="100"/>
      <c r="I35" s="2"/>
      <c r="J35" s="2"/>
      <c r="K35" s="2"/>
    </row>
    <row r="36" spans="1:11" ht="84" customHeight="1" thickBot="1" x14ac:dyDescent="0.3">
      <c r="A36" s="99"/>
      <c r="B36" s="100" t="s">
        <v>93</v>
      </c>
      <c r="C36" s="100"/>
      <c r="D36" s="100"/>
      <c r="E36" s="100"/>
      <c r="F36" s="100"/>
      <c r="G36" s="100"/>
      <c r="H36" s="100"/>
      <c r="I36" s="2"/>
      <c r="J36" s="2"/>
      <c r="K36" s="2"/>
    </row>
  </sheetData>
  <sheetProtection algorithmName="SHA-512" hashValue="XigBIXzSHE5/KJKc1BoM3qpMFHAUE1gT40a2kr4tMOA7WfJdXT/1O7nCMGG+AkWYwvNFFDlsZLkdCYxGt7JnPg==" saltValue="fHNo5bc4GNndvx//KFmWvg==" spinCount="100000" sheet="1" objects="1" scenarios="1" selectLockedCells="1" selectUnlockedCells="1"/>
  <mergeCells count="23">
    <mergeCell ref="A16:B16"/>
    <mergeCell ref="A1:K1"/>
    <mergeCell ref="A3:B3"/>
    <mergeCell ref="D3:E3"/>
    <mergeCell ref="F3:F4"/>
    <mergeCell ref="G3:I3"/>
    <mergeCell ref="J3:J4"/>
    <mergeCell ref="K3:K4"/>
    <mergeCell ref="B34:H34"/>
    <mergeCell ref="A35:A36"/>
    <mergeCell ref="B35:H35"/>
    <mergeCell ref="B36:H36"/>
    <mergeCell ref="A22:H22"/>
    <mergeCell ref="A26:A27"/>
    <mergeCell ref="B26:H26"/>
    <mergeCell ref="B27:H27"/>
    <mergeCell ref="A28:A33"/>
    <mergeCell ref="B28:H28"/>
    <mergeCell ref="B29:H29"/>
    <mergeCell ref="B30:H30"/>
    <mergeCell ref="B31:H31"/>
    <mergeCell ref="B32:H32"/>
    <mergeCell ref="B33:H33"/>
  </mergeCells>
  <pageMargins left="0.7" right="0.7" top="0.75" bottom="0.75" header="0.3" footer="0.3"/>
  <pageSetup paperSize="9"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cellIs" priority="2" operator="equal" id="{51CFDCB4-B35C-42A6-A011-997A4B67119C}">
            <xm:f>Simulateur!$H$26</xm:f>
            <x14:dxf>
              <font>
                <color rgb="FF9C0006"/>
              </font>
              <fill>
                <patternFill>
                  <bgColor rgb="FFFFC7CE"/>
                </patternFill>
              </fill>
            </x14:dxf>
          </x14:cfRule>
          <xm:sqref>D5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7"/>
  <sheetViews>
    <sheetView zoomScale="80" zoomScaleNormal="80" workbookViewId="0">
      <selection activeCell="B15" sqref="B15:G15"/>
    </sheetView>
  </sheetViews>
  <sheetFormatPr baseColWidth="10" defaultRowHeight="15" x14ac:dyDescent="0.25"/>
  <cols>
    <col min="1" max="1" width="104" style="2" customWidth="1"/>
    <col min="2" max="7" width="22.28515625" style="2" customWidth="1"/>
    <col min="8" max="13" width="11.42578125" style="2"/>
  </cols>
  <sheetData>
    <row r="1" spans="1:7" ht="39.950000000000003" customHeight="1" x14ac:dyDescent="0.25">
      <c r="A1" s="122" t="s">
        <v>57</v>
      </c>
      <c r="B1" s="122" t="s">
        <v>58</v>
      </c>
      <c r="C1" s="131"/>
      <c r="D1" s="131"/>
      <c r="E1" s="131"/>
      <c r="F1" s="131"/>
      <c r="G1" s="132"/>
    </row>
    <row r="2" spans="1:7" ht="39.950000000000003" customHeight="1" thickBot="1" x14ac:dyDescent="0.3">
      <c r="A2" s="123"/>
      <c r="B2" s="133" t="s">
        <v>59</v>
      </c>
      <c r="C2" s="134"/>
      <c r="D2" s="134"/>
      <c r="E2" s="134"/>
      <c r="F2" s="134"/>
      <c r="G2" s="135"/>
    </row>
    <row r="3" spans="1:7" ht="39.950000000000003" customHeight="1" thickTop="1" thickBot="1" x14ac:dyDescent="0.3">
      <c r="A3" s="123"/>
      <c r="B3" s="124" t="s">
        <v>60</v>
      </c>
      <c r="C3" s="125"/>
      <c r="D3" s="124" t="s">
        <v>61</v>
      </c>
      <c r="E3" s="125"/>
      <c r="F3" s="124" t="s">
        <v>62</v>
      </c>
      <c r="G3" s="125"/>
    </row>
    <row r="4" spans="1:7" ht="39.950000000000003" customHeight="1" thickBot="1" x14ac:dyDescent="0.3">
      <c r="A4" s="58">
        <v>2</v>
      </c>
      <c r="B4" s="59" t="s">
        <v>105</v>
      </c>
      <c r="C4" s="60">
        <v>70074</v>
      </c>
      <c r="D4" s="59" t="s">
        <v>105</v>
      </c>
      <c r="E4" s="60">
        <v>93399</v>
      </c>
      <c r="F4" s="136" t="s">
        <v>126</v>
      </c>
      <c r="G4" s="137"/>
    </row>
    <row r="5" spans="1:7" ht="39.950000000000003" customHeight="1" thickBot="1" x14ac:dyDescent="0.3">
      <c r="A5" s="61">
        <v>3</v>
      </c>
      <c r="B5" s="62" t="s">
        <v>105</v>
      </c>
      <c r="C5" s="63">
        <v>75913</v>
      </c>
      <c r="D5" s="62" t="s">
        <v>105</v>
      </c>
      <c r="E5" s="63">
        <v>99238</v>
      </c>
      <c r="F5" s="126" t="s">
        <v>16</v>
      </c>
      <c r="G5" s="127"/>
    </row>
    <row r="6" spans="1:7" ht="39.950000000000003" customHeight="1" thickBot="1" x14ac:dyDescent="0.3">
      <c r="A6" s="58">
        <v>4</v>
      </c>
      <c r="B6" s="59" t="s">
        <v>105</v>
      </c>
      <c r="C6" s="60">
        <v>81752</v>
      </c>
      <c r="D6" s="59" t="s">
        <v>105</v>
      </c>
      <c r="E6" s="60">
        <v>105077</v>
      </c>
      <c r="F6" s="136" t="s">
        <v>17</v>
      </c>
      <c r="G6" s="137"/>
    </row>
    <row r="7" spans="1:7" ht="39.950000000000003" customHeight="1" thickBot="1" x14ac:dyDescent="0.3">
      <c r="A7" s="64" t="s">
        <v>63</v>
      </c>
      <c r="B7" s="126">
        <v>5839</v>
      </c>
      <c r="C7" s="127"/>
      <c r="D7" s="126">
        <v>5839</v>
      </c>
      <c r="E7" s="127"/>
      <c r="F7" s="126">
        <v>5839</v>
      </c>
      <c r="G7" s="127"/>
    </row>
    <row r="8" spans="1:7" ht="39.950000000000003" customHeight="1" thickBot="1" x14ac:dyDescent="0.3">
      <c r="A8" s="65"/>
      <c r="B8" s="128" t="s">
        <v>125</v>
      </c>
      <c r="C8" s="129"/>
      <c r="D8" s="129"/>
      <c r="E8" s="129"/>
      <c r="F8" s="129"/>
      <c r="G8" s="130"/>
    </row>
    <row r="9" spans="1:7" ht="39.950000000000003" customHeight="1" thickBot="1" x14ac:dyDescent="0.3">
      <c r="A9" s="64" t="s">
        <v>64</v>
      </c>
      <c r="B9" s="119">
        <v>134.46</v>
      </c>
      <c r="C9" s="121"/>
      <c r="D9" s="119">
        <v>67.23</v>
      </c>
      <c r="E9" s="121"/>
      <c r="F9" s="119">
        <v>33.619999999999997</v>
      </c>
      <c r="G9" s="121"/>
    </row>
    <row r="10" spans="1:7" ht="39.950000000000003" customHeight="1" thickBot="1" x14ac:dyDescent="0.3">
      <c r="A10" s="66" t="s">
        <v>65</v>
      </c>
      <c r="B10" s="116">
        <v>306.72000000000003</v>
      </c>
      <c r="C10" s="118"/>
      <c r="D10" s="116">
        <v>153.36000000000001</v>
      </c>
      <c r="E10" s="118"/>
      <c r="F10" s="116">
        <v>76.69</v>
      </c>
      <c r="G10" s="118"/>
    </row>
    <row r="11" spans="1:7" ht="39.950000000000003" customHeight="1" thickBot="1" x14ac:dyDescent="0.3">
      <c r="A11" s="64" t="s">
        <v>63</v>
      </c>
      <c r="B11" s="119">
        <v>172.27</v>
      </c>
      <c r="C11" s="121"/>
      <c r="D11" s="119">
        <v>86.14</v>
      </c>
      <c r="E11" s="121"/>
      <c r="F11" s="119">
        <v>43.07</v>
      </c>
      <c r="G11" s="121"/>
    </row>
    <row r="12" spans="1:7" ht="39.950000000000003" customHeight="1" thickBot="1" x14ac:dyDescent="0.3">
      <c r="A12" s="66" t="s">
        <v>66</v>
      </c>
      <c r="B12" s="116">
        <v>67.23</v>
      </c>
      <c r="C12" s="118"/>
      <c r="D12" s="116">
        <v>33.619999999999997</v>
      </c>
      <c r="E12" s="118"/>
      <c r="F12" s="116">
        <v>16.809999999999999</v>
      </c>
      <c r="G12" s="118"/>
    </row>
    <row r="13" spans="1:7" ht="39.950000000000003" customHeight="1" thickBot="1" x14ac:dyDescent="0.3">
      <c r="A13" s="64" t="s">
        <v>67</v>
      </c>
      <c r="B13" s="119">
        <v>85.02</v>
      </c>
      <c r="C13" s="121"/>
      <c r="D13" s="119">
        <v>42.51</v>
      </c>
      <c r="E13" s="121"/>
      <c r="F13" s="119">
        <v>21.26</v>
      </c>
      <c r="G13" s="121"/>
    </row>
    <row r="14" spans="1:7" ht="39.950000000000003" customHeight="1" thickBot="1" x14ac:dyDescent="0.3">
      <c r="A14" s="66" t="s">
        <v>106</v>
      </c>
      <c r="B14" s="116">
        <v>175.01</v>
      </c>
      <c r="C14" s="117"/>
      <c r="D14" s="117"/>
      <c r="E14" s="117"/>
      <c r="F14" s="117"/>
      <c r="G14" s="118"/>
    </row>
    <row r="15" spans="1:7" ht="39.950000000000003" customHeight="1" thickBot="1" x14ac:dyDescent="0.3">
      <c r="A15" s="64" t="s">
        <v>107</v>
      </c>
      <c r="B15" s="119">
        <v>87.52</v>
      </c>
      <c r="C15" s="120"/>
      <c r="D15" s="120"/>
      <c r="E15" s="120"/>
      <c r="F15" s="120"/>
      <c r="G15" s="121"/>
    </row>
    <row r="17" spans="1:7" ht="23.25" x14ac:dyDescent="0.25">
      <c r="A17" s="67" t="s">
        <v>121</v>
      </c>
    </row>
    <row r="18" spans="1:7" ht="16.5" x14ac:dyDescent="0.3">
      <c r="A18" s="68" t="s">
        <v>124</v>
      </c>
    </row>
    <row r="19" spans="1:7" ht="16.5" x14ac:dyDescent="0.3">
      <c r="A19" s="68" t="s">
        <v>122</v>
      </c>
    </row>
    <row r="20" spans="1:7" ht="16.5" x14ac:dyDescent="0.3">
      <c r="A20" s="68" t="s">
        <v>123</v>
      </c>
      <c r="C20" s="57"/>
    </row>
    <row r="21" spans="1:7" ht="16.5" x14ac:dyDescent="0.3">
      <c r="A21" s="68"/>
      <c r="C21" s="57"/>
    </row>
    <row r="22" spans="1:7" ht="16.5" x14ac:dyDescent="0.3">
      <c r="A22" s="68"/>
      <c r="C22" s="57"/>
    </row>
    <row r="24" spans="1:7" ht="23.25" x14ac:dyDescent="0.35">
      <c r="A24" s="69" t="s">
        <v>111</v>
      </c>
      <c r="B24" s="70">
        <v>175.01</v>
      </c>
      <c r="C24" s="69"/>
      <c r="D24" s="71"/>
      <c r="E24" s="69"/>
      <c r="F24" s="69"/>
      <c r="G24" s="69"/>
    </row>
    <row r="25" spans="1:7" ht="23.25" x14ac:dyDescent="0.35">
      <c r="A25" s="69" t="s">
        <v>112</v>
      </c>
      <c r="B25" s="71">
        <v>262.52999999999997</v>
      </c>
      <c r="C25" s="69"/>
      <c r="D25" s="69"/>
      <c r="E25" s="69"/>
      <c r="F25" s="69"/>
      <c r="G25" s="69"/>
    </row>
    <row r="26" spans="1:7" ht="69.75" x14ac:dyDescent="0.35">
      <c r="A26" s="69"/>
      <c r="B26" s="72" t="s">
        <v>76</v>
      </c>
      <c r="C26" s="72" t="s">
        <v>77</v>
      </c>
      <c r="D26" s="72" t="s">
        <v>108</v>
      </c>
      <c r="E26" s="72" t="s">
        <v>109</v>
      </c>
      <c r="F26" s="73" t="s">
        <v>110</v>
      </c>
    </row>
    <row r="27" spans="1:7" ht="23.25" x14ac:dyDescent="0.35">
      <c r="A27" s="74" t="s">
        <v>117</v>
      </c>
      <c r="B27" s="74"/>
      <c r="C27" s="74"/>
      <c r="D27" s="74"/>
      <c r="E27" s="74"/>
      <c r="F27" s="74"/>
    </row>
    <row r="28" spans="1:7" ht="23.25" x14ac:dyDescent="0.35">
      <c r="A28" s="69" t="s">
        <v>113</v>
      </c>
      <c r="B28" s="75">
        <v>19603</v>
      </c>
      <c r="C28" s="75">
        <v>22870</v>
      </c>
      <c r="D28" s="75">
        <v>26137</v>
      </c>
      <c r="E28" s="75">
        <v>29404</v>
      </c>
      <c r="F28" s="75">
        <v>3267</v>
      </c>
    </row>
    <row r="29" spans="1:7" ht="23.25" x14ac:dyDescent="0.35">
      <c r="A29" s="74" t="s">
        <v>114</v>
      </c>
      <c r="B29" s="76">
        <v>23979</v>
      </c>
      <c r="C29" s="76">
        <v>27246</v>
      </c>
      <c r="D29" s="76">
        <v>30513</v>
      </c>
      <c r="E29" s="76">
        <v>33780</v>
      </c>
      <c r="F29" s="76">
        <v>3267</v>
      </c>
    </row>
    <row r="30" spans="1:7" ht="23.25" x14ac:dyDescent="0.35">
      <c r="A30" s="69"/>
      <c r="B30" s="77"/>
      <c r="C30" s="75"/>
      <c r="D30" s="75"/>
      <c r="E30" s="75"/>
      <c r="F30" s="75"/>
    </row>
    <row r="31" spans="1:7" ht="23.25" x14ac:dyDescent="0.35">
      <c r="A31" s="74" t="s">
        <v>118</v>
      </c>
      <c r="B31" s="78"/>
      <c r="C31" s="78"/>
      <c r="D31" s="78"/>
      <c r="E31" s="78"/>
      <c r="F31" s="78"/>
    </row>
    <row r="32" spans="1:7" ht="23.25" x14ac:dyDescent="0.35">
      <c r="A32" s="69" t="s">
        <v>115</v>
      </c>
      <c r="B32" s="75">
        <v>39196</v>
      </c>
      <c r="C32" s="75">
        <v>45729</v>
      </c>
      <c r="D32" s="75">
        <v>52262</v>
      </c>
      <c r="E32" s="79">
        <v>58795</v>
      </c>
      <c r="F32" s="75">
        <v>6533</v>
      </c>
    </row>
    <row r="33" spans="1:6" ht="23.25" x14ac:dyDescent="0.35">
      <c r="A33" s="74" t="s">
        <v>116</v>
      </c>
      <c r="B33" s="76">
        <v>47948</v>
      </c>
      <c r="C33" s="76">
        <v>54481</v>
      </c>
      <c r="D33" s="76" t="s">
        <v>120</v>
      </c>
      <c r="E33" s="76">
        <v>67547</v>
      </c>
      <c r="F33" s="76">
        <v>6533</v>
      </c>
    </row>
    <row r="34" spans="1:6" ht="23.25" x14ac:dyDescent="0.35">
      <c r="A34" s="69"/>
      <c r="B34" s="77"/>
      <c r="C34" s="77"/>
      <c r="D34" s="77"/>
      <c r="E34" s="77"/>
      <c r="F34" s="77"/>
    </row>
    <row r="35" spans="1:6" ht="23.25" x14ac:dyDescent="0.35">
      <c r="A35" s="74" t="s">
        <v>119</v>
      </c>
      <c r="B35" s="78"/>
      <c r="C35" s="78"/>
      <c r="D35" s="78"/>
      <c r="E35" s="78"/>
      <c r="F35" s="78"/>
    </row>
    <row r="36" spans="1:6" ht="23.25" x14ac:dyDescent="0.35">
      <c r="A36" s="69" t="s">
        <v>115</v>
      </c>
      <c r="B36" s="75">
        <v>41269</v>
      </c>
      <c r="C36" s="75">
        <v>47802</v>
      </c>
      <c r="D36" s="75">
        <v>54335</v>
      </c>
      <c r="E36" s="75">
        <v>60868</v>
      </c>
      <c r="F36" s="75">
        <v>6533</v>
      </c>
    </row>
    <row r="37" spans="1:6" ht="23.25" x14ac:dyDescent="0.35">
      <c r="A37" s="74" t="s">
        <v>116</v>
      </c>
      <c r="B37" s="76">
        <v>50021</v>
      </c>
      <c r="C37" s="76">
        <v>56554</v>
      </c>
      <c r="D37" s="76">
        <v>63087</v>
      </c>
      <c r="E37" s="76">
        <v>69620</v>
      </c>
      <c r="F37" s="76">
        <v>6533</v>
      </c>
    </row>
  </sheetData>
  <sheetProtection algorithmName="SHA-512" hashValue="9u3DR2kWNHAGz59p3fFldYPHnYZKMUcJqKLamjeJ0b3P165TFQ4eksKVh2o4fj5DN49LigMnUKdQEEaibJ+dVw==" saltValue="DR41ACfIr9uoUSi7dVxW3g==" spinCount="100000" sheet="1" objects="1" scenarios="1" selectLockedCells="1"/>
  <mergeCells count="30">
    <mergeCell ref="B13:C13"/>
    <mergeCell ref="A1:A3"/>
    <mergeCell ref="B3:C3"/>
    <mergeCell ref="B7:C7"/>
    <mergeCell ref="B8:G8"/>
    <mergeCell ref="D7:E7"/>
    <mergeCell ref="D3:E3"/>
    <mergeCell ref="F7:G7"/>
    <mergeCell ref="F3:G3"/>
    <mergeCell ref="B1:G1"/>
    <mergeCell ref="B2:G2"/>
    <mergeCell ref="F4:G4"/>
    <mergeCell ref="F5:G5"/>
    <mergeCell ref="F6:G6"/>
    <mergeCell ref="B14:G14"/>
    <mergeCell ref="B15:G15"/>
    <mergeCell ref="F9:G9"/>
    <mergeCell ref="F10:G10"/>
    <mergeCell ref="F11:G11"/>
    <mergeCell ref="F12:G12"/>
    <mergeCell ref="F13:G13"/>
    <mergeCell ref="D9:E9"/>
    <mergeCell ref="D10:E10"/>
    <mergeCell ref="D11:E11"/>
    <mergeCell ref="D12:E12"/>
    <mergeCell ref="D13:E13"/>
    <mergeCell ref="B9:C9"/>
    <mergeCell ref="B10:C10"/>
    <mergeCell ref="B11:C11"/>
    <mergeCell ref="B12:C12"/>
  </mergeCells>
  <pageMargins left="0.25" right="0.25" top="0.75" bottom="0.75" header="0.3" footer="0.3"/>
  <pageSetup paperSize="9" scale="45"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1F411267CCD73409C41A67EC801A684" ma:contentTypeVersion="8" ma:contentTypeDescription="Crée un document." ma:contentTypeScope="" ma:versionID="f1a74eca73ea3389a9a5e8a3db8d7ab3">
  <xsd:schema xmlns:xsd="http://www.w3.org/2001/XMLSchema" xmlns:xs="http://www.w3.org/2001/XMLSchema" xmlns:p="http://schemas.microsoft.com/office/2006/metadata/properties" xmlns:ns3="5ad1ee6a-fb54-4779-a86e-57e8324c0200" targetNamespace="http://schemas.microsoft.com/office/2006/metadata/properties" ma:root="true" ma:fieldsID="2f6fb553678ed1e9928bcde6b7051138" ns3:_="">
    <xsd:import namespace="5ad1ee6a-fb54-4779-a86e-57e8324c020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d1ee6a-fb54-4779-a86e-57e8324c02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5CAA57-3FDF-4B8B-A388-5D622445BAF5}">
  <ds:schemaRefs>
    <ds:schemaRef ds:uri="http://schemas.microsoft.com/sharepoint/v3/contenttype/forms"/>
  </ds:schemaRefs>
</ds:datastoreItem>
</file>

<file path=customXml/itemProps2.xml><?xml version="1.0" encoding="utf-8"?>
<ds:datastoreItem xmlns:ds="http://schemas.openxmlformats.org/officeDocument/2006/customXml" ds:itemID="{5448EDF3-FE59-4C09-A828-8F46A6D72643}">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5ad1ee6a-fb54-4779-a86e-57e8324c0200"/>
    <ds:schemaRef ds:uri="http://purl.org/dc/terms/"/>
    <ds:schemaRef ds:uri="http://schemas.openxmlformats.org/package/2006/metadata/core-properties"/>
    <ds:schemaRef ds:uri="http://purl.org/dc/dcmitype/"/>
    <ds:schemaRef ds:uri="http://www.w3.org/XML/1998/namespace"/>
  </ds:schemaRefs>
</ds:datastoreItem>
</file>

<file path=customXml/itemProps3.xml><?xml version="1.0" encoding="utf-8"?>
<ds:datastoreItem xmlns:ds="http://schemas.openxmlformats.org/officeDocument/2006/customXml" ds:itemID="{0245D09F-246E-4AB0-BBEF-BC38388889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d1ee6a-fb54-4779-a86e-57e8324c02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Simulateur</vt:lpstr>
      <vt:lpstr>Tarif périscolaire</vt:lpstr>
      <vt:lpstr>Allocations Familiales</vt:lpstr>
    </vt:vector>
  </TitlesOfParts>
  <Company>CACP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arobichon</dc:creator>
  <cp:lastModifiedBy>Bigboss</cp:lastModifiedBy>
  <cp:lastPrinted>2022-03-24T10:48:54Z</cp:lastPrinted>
  <dcterms:created xsi:type="dcterms:W3CDTF">2022-02-01T14:22:58Z</dcterms:created>
  <dcterms:modified xsi:type="dcterms:W3CDTF">2022-06-08T07:45:45Z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0x01010051F411267CCD73409C41A67EC801A684</vt:lpwstr>
  </property>
</Properties>
</file>